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600" yWindow="60" windowWidth="12645" windowHeight="12510" tabRatio="835"/>
  </bookViews>
  <sheets>
    <sheet name="Raw Data" sheetId="3" r:id="rId1"/>
    <sheet name="Compilation" sheetId="4" r:id="rId2"/>
    <sheet name="Compilation 2" sheetId="5" r:id="rId3"/>
    <sheet name="Table" sheetId="6" r:id="rId4"/>
  </sheets>
  <definedNames>
    <definedName name="_xlnm.Print_Area" localSheetId="1">Compilation!$A$1:$O$44</definedName>
    <definedName name="_xlnm.Print_Area" localSheetId="2">'Compilation 2'!$A$1:$O$54</definedName>
    <definedName name="_xlnm.Print_Area" localSheetId="0">'Raw Data'!$A$1:$M$162</definedName>
    <definedName name="_xlnm.Print_Area" localSheetId="3">Table!$A$1:$X$138</definedName>
    <definedName name="_xlnm.Print_Titles" localSheetId="0">'Raw Data'!$1:$17</definedName>
    <definedName name="_xlnm.Print_Titles" localSheetId="3">Table!$1:$16</definedName>
  </definedNames>
  <calcPr calcId="145621"/>
</workbook>
</file>

<file path=xl/calcChain.xml><?xml version="1.0" encoding="utf-8"?>
<calcChain xmlns="http://schemas.openxmlformats.org/spreadsheetml/2006/main">
  <c r="O3" i="4" l="1"/>
  <c r="AC16" i="6"/>
  <c r="AE10" i="6"/>
  <c r="AC10" i="6"/>
  <c r="C5" i="5"/>
  <c r="AE9" i="6"/>
  <c r="AD9" i="6"/>
  <c r="AC9" i="6"/>
  <c r="C4" i="5"/>
  <c r="C3" i="4"/>
  <c r="C2" i="5"/>
  <c r="K6" i="5"/>
  <c r="K5" i="5"/>
  <c r="K4" i="5"/>
  <c r="K2" i="5"/>
  <c r="K6" i="4"/>
  <c r="K5" i="4"/>
  <c r="K4" i="4"/>
  <c r="K2" i="4"/>
  <c r="I11" i="3"/>
  <c r="I10" i="3"/>
  <c r="I9" i="3"/>
  <c r="I7" i="3"/>
  <c r="C5" i="4" l="1"/>
  <c r="A10" i="3"/>
  <c r="A9" i="3"/>
  <c r="C4" i="4"/>
  <c r="C3" i="5"/>
  <c r="A8" i="3"/>
  <c r="M8" i="3"/>
  <c r="L23" i="3"/>
  <c r="O3" i="5"/>
  <c r="C2" i="4"/>
  <c r="A7" i="3"/>
  <c r="E40" i="6"/>
  <c r="E44" i="6"/>
  <c r="E48" i="6"/>
  <c r="E52" i="6"/>
  <c r="E56" i="6"/>
  <c r="E60" i="6"/>
  <c r="E64" i="6"/>
  <c r="E70" i="6"/>
  <c r="E78" i="6"/>
  <c r="E86" i="6"/>
  <c r="E94" i="6"/>
  <c r="E102" i="6"/>
  <c r="E110" i="6"/>
  <c r="E118" i="6"/>
  <c r="E126" i="6"/>
  <c r="E134" i="6"/>
  <c r="E25" i="6"/>
  <c r="E33" i="6"/>
  <c r="E41" i="6"/>
  <c r="E49" i="6"/>
  <c r="E57" i="6"/>
  <c r="E65" i="6"/>
  <c r="E95" i="6"/>
  <c r="E99" i="6"/>
  <c r="E27" i="6"/>
  <c r="M30" i="3"/>
  <c r="E19" i="6"/>
  <c r="E21" i="6"/>
  <c r="E23" i="6"/>
  <c r="E136" i="6"/>
  <c r="E135" i="6"/>
  <c r="E133" i="6"/>
  <c r="E132" i="6"/>
  <c r="E131" i="6"/>
  <c r="E130" i="6"/>
  <c r="E129" i="6"/>
  <c r="E128" i="6"/>
  <c r="E127" i="6"/>
  <c r="E125" i="6"/>
  <c r="E124" i="6"/>
  <c r="E123" i="6"/>
  <c r="E122" i="6"/>
  <c r="E121" i="6"/>
  <c r="E120" i="6"/>
  <c r="E119" i="6"/>
  <c r="E117" i="6"/>
  <c r="E116" i="6"/>
  <c r="E115" i="6"/>
  <c r="E114" i="6"/>
  <c r="E113" i="6"/>
  <c r="E112" i="6"/>
  <c r="E111" i="6"/>
  <c r="E109" i="6"/>
  <c r="E108" i="6"/>
  <c r="E107" i="6"/>
  <c r="E106" i="6"/>
  <c r="E105" i="6"/>
  <c r="E104" i="6"/>
  <c r="E103" i="6"/>
  <c r="E101" i="6"/>
  <c r="E100" i="6"/>
  <c r="E91" i="6"/>
  <c r="E90" i="6"/>
  <c r="E89" i="6"/>
  <c r="E88" i="6"/>
  <c r="E87" i="6"/>
  <c r="E85" i="6"/>
  <c r="E84" i="6"/>
  <c r="E83" i="6"/>
  <c r="E82" i="6"/>
  <c r="E81" i="6"/>
  <c r="E80" i="6"/>
  <c r="E79" i="6"/>
  <c r="E77" i="6"/>
  <c r="E76" i="6"/>
  <c r="E75" i="6"/>
  <c r="E74" i="6"/>
  <c r="E73" i="6"/>
  <c r="E72" i="6"/>
  <c r="E71" i="6"/>
  <c r="E69" i="6"/>
  <c r="E68" i="6"/>
  <c r="E67" i="6"/>
  <c r="E66" i="6"/>
  <c r="E63" i="6"/>
  <c r="E62" i="6"/>
  <c r="E61" i="6"/>
  <c r="E59" i="6"/>
  <c r="E58" i="6"/>
  <c r="E55" i="6"/>
  <c r="E54" i="6"/>
  <c r="E53" i="6"/>
  <c r="E51" i="6"/>
  <c r="E50" i="6"/>
  <c r="E47" i="6"/>
  <c r="E46" i="6"/>
  <c r="E45" i="6"/>
  <c r="E43" i="6"/>
  <c r="E42" i="6"/>
  <c r="E39" i="6"/>
  <c r="E98" i="6"/>
  <c r="E97" i="6"/>
  <c r="E96" i="6"/>
  <c r="E93" i="6"/>
  <c r="E92" i="6"/>
  <c r="E18" i="6"/>
  <c r="E20" i="6"/>
  <c r="E22" i="6"/>
  <c r="E24" i="6"/>
  <c r="E26" i="6"/>
  <c r="E28" i="6"/>
  <c r="E29" i="6"/>
  <c r="E30" i="6"/>
  <c r="E31" i="6"/>
  <c r="E32" i="6"/>
  <c r="E34" i="6"/>
  <c r="E35" i="6"/>
  <c r="E36" i="6"/>
  <c r="E37" i="6"/>
  <c r="E38" i="6"/>
  <c r="H23" i="3" l="1"/>
  <c r="K23" i="3" s="1"/>
  <c r="O2" i="4"/>
  <c r="O2" i="5"/>
  <c r="M7" i="3"/>
  <c r="I39" i="6"/>
  <c r="F38" i="6"/>
  <c r="I37" i="6"/>
  <c r="F36" i="6"/>
  <c r="I35" i="6"/>
  <c r="F34" i="6"/>
  <c r="I33" i="6"/>
  <c r="F32" i="6"/>
  <c r="I31" i="6"/>
  <c r="F30" i="6"/>
  <c r="I29" i="6"/>
  <c r="F28" i="6"/>
  <c r="I25" i="6"/>
  <c r="F24" i="6"/>
  <c r="I21" i="6"/>
  <c r="F20" i="6"/>
  <c r="F92" i="6"/>
  <c r="I93" i="6"/>
  <c r="F94" i="6"/>
  <c r="I95" i="6"/>
  <c r="F96" i="6"/>
  <c r="I97" i="6"/>
  <c r="F98" i="6"/>
  <c r="I99" i="6"/>
  <c r="I40" i="6"/>
  <c r="AN24" i="6"/>
  <c r="F39" i="6"/>
  <c r="I42" i="6"/>
  <c r="F41" i="6"/>
  <c r="I44" i="6"/>
  <c r="F43" i="6"/>
  <c r="I46" i="6"/>
  <c r="F45" i="6"/>
  <c r="I48" i="6"/>
  <c r="F47" i="6"/>
  <c r="AN22" i="6"/>
  <c r="I50" i="6"/>
  <c r="F49" i="6"/>
  <c r="I52" i="6"/>
  <c r="F51" i="6"/>
  <c r="I54" i="6"/>
  <c r="F53" i="6"/>
  <c r="I56" i="6"/>
  <c r="F55" i="6"/>
  <c r="AN21" i="6"/>
  <c r="I58" i="6"/>
  <c r="F57" i="6"/>
  <c r="I60" i="6"/>
  <c r="F59" i="6"/>
  <c r="I62" i="6"/>
  <c r="F61" i="6"/>
  <c r="I64" i="6"/>
  <c r="F63" i="6"/>
  <c r="I66" i="6"/>
  <c r="F65" i="6"/>
  <c r="I68" i="6"/>
  <c r="F67" i="6"/>
  <c r="I70" i="6"/>
  <c r="F69" i="6"/>
  <c r="I72" i="6"/>
  <c r="F71" i="6"/>
  <c r="I74" i="6"/>
  <c r="F73" i="6"/>
  <c r="AN18" i="6"/>
  <c r="I76" i="6"/>
  <c r="F75" i="6"/>
  <c r="I78" i="6"/>
  <c r="F77" i="6"/>
  <c r="I80" i="6"/>
  <c r="F79" i="6"/>
  <c r="I82" i="6"/>
  <c r="F81" i="6"/>
  <c r="AN17" i="6"/>
  <c r="I84" i="6"/>
  <c r="F83" i="6"/>
  <c r="I86" i="6"/>
  <c r="F85" i="6"/>
  <c r="I88" i="6"/>
  <c r="F87" i="6"/>
  <c r="I90" i="6"/>
  <c r="F89" i="6"/>
  <c r="I92" i="6"/>
  <c r="F91" i="6"/>
  <c r="AN16" i="6"/>
  <c r="F101" i="6"/>
  <c r="I102" i="6"/>
  <c r="F103" i="6"/>
  <c r="I104" i="6"/>
  <c r="F105" i="6"/>
  <c r="I106" i="6"/>
  <c r="F107" i="6"/>
  <c r="I108" i="6"/>
  <c r="AN13" i="6"/>
  <c r="F109" i="6"/>
  <c r="I110" i="6"/>
  <c r="F111" i="6"/>
  <c r="I112" i="6"/>
  <c r="F113" i="6"/>
  <c r="I114" i="6"/>
  <c r="F115" i="6"/>
  <c r="I116" i="6"/>
  <c r="F117" i="6"/>
  <c r="I118" i="6"/>
  <c r="AN12" i="6"/>
  <c r="I120" i="6"/>
  <c r="F119" i="6"/>
  <c r="I122" i="6"/>
  <c r="F121" i="6"/>
  <c r="F123" i="6"/>
  <c r="I124" i="6"/>
  <c r="F125" i="6"/>
  <c r="I126" i="6"/>
  <c r="AN10" i="6"/>
  <c r="F127" i="6"/>
  <c r="I128" i="6"/>
  <c r="F129" i="6"/>
  <c r="I130" i="6"/>
  <c r="F131" i="6"/>
  <c r="I132" i="6"/>
  <c r="F133" i="6"/>
  <c r="I134" i="6"/>
  <c r="AN9" i="6"/>
  <c r="F135" i="6"/>
  <c r="I136" i="6"/>
  <c r="AN8" i="6"/>
  <c r="I26" i="6"/>
  <c r="F25" i="6"/>
  <c r="AN26" i="6"/>
  <c r="I22" i="6"/>
  <c r="F21" i="6"/>
  <c r="N135" i="6"/>
  <c r="P135" i="6" s="1"/>
  <c r="L135" i="6"/>
  <c r="O135" i="6" s="1"/>
  <c r="M135" i="6"/>
  <c r="N133" i="6"/>
  <c r="P133" i="6" s="1"/>
  <c r="L133" i="6"/>
  <c r="O133" i="6" s="1"/>
  <c r="M133" i="6"/>
  <c r="N131" i="6"/>
  <c r="P131" i="6" s="1"/>
  <c r="L131" i="6"/>
  <c r="O131" i="6" s="1"/>
  <c r="M131" i="6"/>
  <c r="N129" i="6"/>
  <c r="P129" i="6" s="1"/>
  <c r="L129" i="6"/>
  <c r="O129" i="6" s="1"/>
  <c r="M129" i="6"/>
  <c r="N127" i="6"/>
  <c r="P127" i="6" s="1"/>
  <c r="L127" i="6"/>
  <c r="O127" i="6" s="1"/>
  <c r="M127" i="6"/>
  <c r="N125" i="6"/>
  <c r="P125" i="6" s="1"/>
  <c r="L125" i="6"/>
  <c r="O125" i="6" s="1"/>
  <c r="M125" i="6"/>
  <c r="N123" i="6"/>
  <c r="P123" i="6" s="1"/>
  <c r="L123" i="6"/>
  <c r="O123" i="6" s="1"/>
  <c r="M123" i="6"/>
  <c r="M121" i="6"/>
  <c r="L121" i="6"/>
  <c r="O121" i="6" s="1"/>
  <c r="N121" i="6"/>
  <c r="P121" i="6" s="1"/>
  <c r="M119" i="6"/>
  <c r="L119" i="6"/>
  <c r="O119" i="6" s="1"/>
  <c r="N119" i="6"/>
  <c r="P119" i="6" s="1"/>
  <c r="N117" i="6"/>
  <c r="P117" i="6" s="1"/>
  <c r="L117" i="6"/>
  <c r="O117" i="6" s="1"/>
  <c r="M117" i="6"/>
  <c r="N115" i="6"/>
  <c r="P115" i="6" s="1"/>
  <c r="L115" i="6"/>
  <c r="O115" i="6" s="1"/>
  <c r="M115" i="6"/>
  <c r="N113" i="6"/>
  <c r="P113" i="6" s="1"/>
  <c r="L113" i="6"/>
  <c r="O113" i="6" s="1"/>
  <c r="M113" i="6"/>
  <c r="N111" i="6"/>
  <c r="P111" i="6" s="1"/>
  <c r="L111" i="6"/>
  <c r="O111" i="6" s="1"/>
  <c r="M111" i="6"/>
  <c r="N109" i="6"/>
  <c r="P109" i="6" s="1"/>
  <c r="L109" i="6"/>
  <c r="O109" i="6" s="1"/>
  <c r="M109" i="6"/>
  <c r="N107" i="6"/>
  <c r="P107" i="6" s="1"/>
  <c r="L107" i="6"/>
  <c r="O107" i="6" s="1"/>
  <c r="M107" i="6"/>
  <c r="N105" i="6"/>
  <c r="P105" i="6" s="1"/>
  <c r="L105" i="6"/>
  <c r="O105" i="6" s="1"/>
  <c r="M105" i="6"/>
  <c r="N103" i="6"/>
  <c r="P103" i="6" s="1"/>
  <c r="L103" i="6"/>
  <c r="O103" i="6" s="1"/>
  <c r="M103" i="6"/>
  <c r="N101" i="6"/>
  <c r="P101" i="6" s="1"/>
  <c r="L101" i="6"/>
  <c r="O101" i="6" s="1"/>
  <c r="M101" i="6"/>
  <c r="N99" i="6"/>
  <c r="P99" i="6" s="1"/>
  <c r="L99" i="6"/>
  <c r="O99" i="6" s="1"/>
  <c r="M99" i="6"/>
  <c r="N97" i="6"/>
  <c r="P97" i="6" s="1"/>
  <c r="L97" i="6"/>
  <c r="O97" i="6" s="1"/>
  <c r="M97" i="6"/>
  <c r="N95" i="6"/>
  <c r="P95" i="6" s="1"/>
  <c r="L95" i="6"/>
  <c r="O95" i="6" s="1"/>
  <c r="M95" i="6"/>
  <c r="N93" i="6"/>
  <c r="P93" i="6" s="1"/>
  <c r="L93" i="6"/>
  <c r="O93" i="6" s="1"/>
  <c r="M93" i="6"/>
  <c r="M91" i="6"/>
  <c r="N91" i="6"/>
  <c r="P91" i="6" s="1"/>
  <c r="L91" i="6"/>
  <c r="O91" i="6" s="1"/>
  <c r="M89" i="6"/>
  <c r="N89" i="6"/>
  <c r="P89" i="6" s="1"/>
  <c r="L89" i="6"/>
  <c r="O89" i="6" s="1"/>
  <c r="M87" i="6"/>
  <c r="N87" i="6"/>
  <c r="P87" i="6" s="1"/>
  <c r="L87" i="6"/>
  <c r="O87" i="6" s="1"/>
  <c r="M85" i="6"/>
  <c r="N85" i="6"/>
  <c r="P85" i="6" s="1"/>
  <c r="L85" i="6"/>
  <c r="O85" i="6" s="1"/>
  <c r="M83" i="6"/>
  <c r="N83" i="6"/>
  <c r="P83" i="6" s="1"/>
  <c r="L83" i="6"/>
  <c r="O83" i="6" s="1"/>
  <c r="M81" i="6"/>
  <c r="N81" i="6"/>
  <c r="P81" i="6" s="1"/>
  <c r="L81" i="6"/>
  <c r="O81" i="6" s="1"/>
  <c r="M79" i="6"/>
  <c r="N79" i="6"/>
  <c r="P79" i="6" s="1"/>
  <c r="L79" i="6"/>
  <c r="O79" i="6" s="1"/>
  <c r="M77" i="6"/>
  <c r="N77" i="6"/>
  <c r="P77" i="6" s="1"/>
  <c r="L77" i="6"/>
  <c r="M75" i="6"/>
  <c r="N75" i="6"/>
  <c r="P75" i="6" s="1"/>
  <c r="L75" i="6"/>
  <c r="O75" i="6" s="1"/>
  <c r="M73" i="6"/>
  <c r="N73" i="6"/>
  <c r="P73" i="6" s="1"/>
  <c r="L73" i="6"/>
  <c r="O73" i="6" s="1"/>
  <c r="M71" i="6"/>
  <c r="N71" i="6"/>
  <c r="P71" i="6" s="1"/>
  <c r="L71" i="6"/>
  <c r="O71" i="6" s="1"/>
  <c r="M69" i="6"/>
  <c r="N69" i="6"/>
  <c r="P69" i="6" s="1"/>
  <c r="L69" i="6"/>
  <c r="O69" i="6" s="1"/>
  <c r="M65" i="6"/>
  <c r="N65" i="6"/>
  <c r="P65" i="6" s="1"/>
  <c r="L65" i="6"/>
  <c r="O65" i="6" s="1"/>
  <c r="M61" i="6"/>
  <c r="N61" i="6"/>
  <c r="P61" i="6" s="1"/>
  <c r="L61" i="6"/>
  <c r="O61" i="6" s="1"/>
  <c r="M57" i="6"/>
  <c r="N57" i="6"/>
  <c r="P57" i="6" s="1"/>
  <c r="L57" i="6"/>
  <c r="O57" i="6" s="1"/>
  <c r="M53" i="6"/>
  <c r="N53" i="6"/>
  <c r="P53" i="6" s="1"/>
  <c r="L53" i="6"/>
  <c r="O53" i="6" s="1"/>
  <c r="M49" i="6"/>
  <c r="N49" i="6"/>
  <c r="P49" i="6" s="1"/>
  <c r="L49" i="6"/>
  <c r="O49" i="6" s="1"/>
  <c r="M45" i="6"/>
  <c r="L45" i="6"/>
  <c r="O45" i="6" s="1"/>
  <c r="N45" i="6"/>
  <c r="P45" i="6" s="1"/>
  <c r="M41" i="6"/>
  <c r="L41" i="6"/>
  <c r="O41" i="6" s="1"/>
  <c r="N41" i="6"/>
  <c r="P41" i="6" s="1"/>
  <c r="M37" i="6"/>
  <c r="N37" i="6"/>
  <c r="P37" i="6" s="1"/>
  <c r="L37" i="6"/>
  <c r="O37" i="6" s="1"/>
  <c r="M33" i="6"/>
  <c r="N33" i="6"/>
  <c r="P33" i="6" s="1"/>
  <c r="L33" i="6"/>
  <c r="O33" i="6" s="1"/>
  <c r="M29" i="6"/>
  <c r="N29" i="6"/>
  <c r="P29" i="6" s="1"/>
  <c r="L29" i="6"/>
  <c r="O29" i="6" s="1"/>
  <c r="N25" i="6"/>
  <c r="P25" i="6" s="1"/>
  <c r="L25" i="6"/>
  <c r="O25" i="6" s="1"/>
  <c r="M25" i="6"/>
  <c r="N21" i="6"/>
  <c r="P21" i="6" s="1"/>
  <c r="L21" i="6"/>
  <c r="O21" i="6" s="1"/>
  <c r="M21" i="6"/>
  <c r="N134" i="6"/>
  <c r="P134" i="6" s="1"/>
  <c r="L134" i="6"/>
  <c r="O134" i="6" s="1"/>
  <c r="M134" i="6"/>
  <c r="N130" i="6"/>
  <c r="P130" i="6" s="1"/>
  <c r="L130" i="6"/>
  <c r="O130" i="6" s="1"/>
  <c r="M130" i="6"/>
  <c r="N126" i="6"/>
  <c r="P126" i="6" s="1"/>
  <c r="L126" i="6"/>
  <c r="O126" i="6" s="1"/>
  <c r="M126" i="6"/>
  <c r="N122" i="6"/>
  <c r="P122" i="6" s="1"/>
  <c r="L122" i="6"/>
  <c r="O122" i="6" s="1"/>
  <c r="M122" i="6"/>
  <c r="N118" i="6"/>
  <c r="P118" i="6" s="1"/>
  <c r="L118" i="6"/>
  <c r="O118" i="6" s="1"/>
  <c r="M118" i="6"/>
  <c r="N114" i="6"/>
  <c r="P114" i="6" s="1"/>
  <c r="L114" i="6"/>
  <c r="O114" i="6" s="1"/>
  <c r="M114" i="6"/>
  <c r="N110" i="6"/>
  <c r="P110" i="6" s="1"/>
  <c r="L110" i="6"/>
  <c r="O110" i="6" s="1"/>
  <c r="M110" i="6"/>
  <c r="N106" i="6"/>
  <c r="P106" i="6" s="1"/>
  <c r="L106" i="6"/>
  <c r="O106" i="6" s="1"/>
  <c r="M106" i="6"/>
  <c r="N102" i="6"/>
  <c r="P102" i="6" s="1"/>
  <c r="L102" i="6"/>
  <c r="O102" i="6" s="1"/>
  <c r="M102" i="6"/>
  <c r="N98" i="6"/>
  <c r="P98" i="6" s="1"/>
  <c r="L98" i="6"/>
  <c r="O98" i="6" s="1"/>
  <c r="M98" i="6"/>
  <c r="N94" i="6"/>
  <c r="P94" i="6" s="1"/>
  <c r="L94" i="6"/>
  <c r="O94" i="6" s="1"/>
  <c r="M94" i="6"/>
  <c r="M90" i="6"/>
  <c r="N90" i="6"/>
  <c r="P90" i="6" s="1"/>
  <c r="L90" i="6"/>
  <c r="O90" i="6" s="1"/>
  <c r="M86" i="6"/>
  <c r="N86" i="6"/>
  <c r="P86" i="6" s="1"/>
  <c r="L86" i="6"/>
  <c r="O86" i="6" s="1"/>
  <c r="M82" i="6"/>
  <c r="N82" i="6"/>
  <c r="P82" i="6" s="1"/>
  <c r="L82" i="6"/>
  <c r="O82" i="6" s="1"/>
  <c r="M78" i="6"/>
  <c r="N78" i="6"/>
  <c r="P78" i="6" s="1"/>
  <c r="L78" i="6"/>
  <c r="O78" i="6" s="1"/>
  <c r="M74" i="6"/>
  <c r="N74" i="6"/>
  <c r="P74" i="6" s="1"/>
  <c r="L74" i="6"/>
  <c r="O74" i="6" s="1"/>
  <c r="M70" i="6"/>
  <c r="N70" i="6"/>
  <c r="P70" i="6" s="1"/>
  <c r="L70" i="6"/>
  <c r="O70" i="6" s="1"/>
  <c r="M66" i="6"/>
  <c r="N66" i="6"/>
  <c r="P66" i="6" s="1"/>
  <c r="L66" i="6"/>
  <c r="O66" i="6" s="1"/>
  <c r="M64" i="6"/>
  <c r="N64" i="6"/>
  <c r="P64" i="6" s="1"/>
  <c r="L64" i="6"/>
  <c r="O64" i="6" s="1"/>
  <c r="M62" i="6"/>
  <c r="N62" i="6"/>
  <c r="P62" i="6" s="1"/>
  <c r="L62" i="6"/>
  <c r="O62" i="6" s="1"/>
  <c r="M60" i="6"/>
  <c r="N60" i="6"/>
  <c r="P60" i="6" s="1"/>
  <c r="L60" i="6"/>
  <c r="O60" i="6" s="1"/>
  <c r="M58" i="6"/>
  <c r="N58" i="6"/>
  <c r="P58" i="6" s="1"/>
  <c r="L58" i="6"/>
  <c r="O58" i="6" s="1"/>
  <c r="M56" i="6"/>
  <c r="N56" i="6"/>
  <c r="P56" i="6" s="1"/>
  <c r="L56" i="6"/>
  <c r="O56" i="6" s="1"/>
  <c r="M54" i="6"/>
  <c r="N54" i="6"/>
  <c r="P54" i="6" s="1"/>
  <c r="L54" i="6"/>
  <c r="O54" i="6" s="1"/>
  <c r="M52" i="6"/>
  <c r="N52" i="6"/>
  <c r="P52" i="6" s="1"/>
  <c r="L52" i="6"/>
  <c r="O52" i="6" s="1"/>
  <c r="M50" i="6"/>
  <c r="N50" i="6"/>
  <c r="P50" i="6" s="1"/>
  <c r="L50" i="6"/>
  <c r="O50" i="6" s="1"/>
  <c r="M48" i="6"/>
  <c r="N48" i="6"/>
  <c r="P48" i="6" s="1"/>
  <c r="L48" i="6"/>
  <c r="O48" i="6" s="1"/>
  <c r="M46" i="6"/>
  <c r="N46" i="6"/>
  <c r="P46" i="6" s="1"/>
  <c r="L46" i="6"/>
  <c r="O46" i="6" s="1"/>
  <c r="M44" i="6"/>
  <c r="L44" i="6"/>
  <c r="O44" i="6" s="1"/>
  <c r="N44" i="6"/>
  <c r="P44" i="6" s="1"/>
  <c r="M42" i="6"/>
  <c r="L42" i="6"/>
  <c r="O42" i="6" s="1"/>
  <c r="N42" i="6"/>
  <c r="P42" i="6" s="1"/>
  <c r="M40" i="6"/>
  <c r="L40" i="6"/>
  <c r="O40" i="6" s="1"/>
  <c r="N40" i="6"/>
  <c r="P40" i="6" s="1"/>
  <c r="M38" i="6"/>
  <c r="N38" i="6"/>
  <c r="P38" i="6" s="1"/>
  <c r="L38" i="6"/>
  <c r="O38" i="6" s="1"/>
  <c r="M36" i="6"/>
  <c r="N36" i="6"/>
  <c r="P36" i="6" s="1"/>
  <c r="L36" i="6"/>
  <c r="O36" i="6" s="1"/>
  <c r="M34" i="6"/>
  <c r="N34" i="6"/>
  <c r="P34" i="6" s="1"/>
  <c r="L34" i="6"/>
  <c r="O34" i="6" s="1"/>
  <c r="M32" i="6"/>
  <c r="N32" i="6"/>
  <c r="P32" i="6" s="1"/>
  <c r="L32" i="6"/>
  <c r="O32" i="6" s="1"/>
  <c r="M30" i="6"/>
  <c r="N30" i="6"/>
  <c r="P30" i="6" s="1"/>
  <c r="L30" i="6"/>
  <c r="O30" i="6" s="1"/>
  <c r="M28" i="6"/>
  <c r="N28" i="6"/>
  <c r="P28" i="6" s="1"/>
  <c r="L28" i="6"/>
  <c r="O28" i="6" s="1"/>
  <c r="M26" i="6"/>
  <c r="N26" i="6"/>
  <c r="P26" i="6" s="1"/>
  <c r="L26" i="6"/>
  <c r="O26" i="6" s="1"/>
  <c r="M24" i="6"/>
  <c r="N24" i="6"/>
  <c r="P24" i="6" s="1"/>
  <c r="L24" i="6"/>
  <c r="O24" i="6" s="1"/>
  <c r="M22" i="6"/>
  <c r="N22" i="6"/>
  <c r="P22" i="6" s="1"/>
  <c r="L22" i="6"/>
  <c r="O22" i="6" s="1"/>
  <c r="M20" i="6"/>
  <c r="N20" i="6"/>
  <c r="P20" i="6" s="1"/>
  <c r="L20" i="6"/>
  <c r="O20" i="6" s="1"/>
  <c r="M18" i="6"/>
  <c r="N18" i="6"/>
  <c r="P18" i="6" s="1"/>
  <c r="L18" i="6"/>
  <c r="O18" i="6" s="1"/>
  <c r="I38" i="6"/>
  <c r="F37" i="6"/>
  <c r="I36" i="6"/>
  <c r="F35" i="6"/>
  <c r="I34" i="6"/>
  <c r="F33" i="6"/>
  <c r="I32" i="6"/>
  <c r="F31" i="6"/>
  <c r="I30" i="6"/>
  <c r="F29" i="6"/>
  <c r="AN25" i="6"/>
  <c r="I27" i="6"/>
  <c r="F26" i="6"/>
  <c r="I23" i="6"/>
  <c r="F22" i="6"/>
  <c r="I18" i="6"/>
  <c r="AN27" i="6"/>
  <c r="I19" i="6"/>
  <c r="F18" i="6"/>
  <c r="F93" i="6"/>
  <c r="I94" i="6"/>
  <c r="F95" i="6"/>
  <c r="I96" i="6"/>
  <c r="AN15" i="6"/>
  <c r="F97" i="6"/>
  <c r="I98" i="6"/>
  <c r="F99" i="6"/>
  <c r="I100" i="6"/>
  <c r="AN14" i="6"/>
  <c r="I41" i="6"/>
  <c r="F40" i="6"/>
  <c r="I43" i="6"/>
  <c r="F42" i="6"/>
  <c r="AN23" i="6"/>
  <c r="I45" i="6"/>
  <c r="F44" i="6"/>
  <c r="I47" i="6"/>
  <c r="F46" i="6"/>
  <c r="I49" i="6"/>
  <c r="F48" i="6"/>
  <c r="I51" i="6"/>
  <c r="F50" i="6"/>
  <c r="I53" i="6"/>
  <c r="F52" i="6"/>
  <c r="I55" i="6"/>
  <c r="F54" i="6"/>
  <c r="I57" i="6"/>
  <c r="F56" i="6"/>
  <c r="I59" i="6"/>
  <c r="F58" i="6"/>
  <c r="I61" i="6"/>
  <c r="F60" i="6"/>
  <c r="I63" i="6"/>
  <c r="F62" i="6"/>
  <c r="I65" i="6"/>
  <c r="F64" i="6"/>
  <c r="AN20" i="6"/>
  <c r="I67" i="6"/>
  <c r="F66" i="6"/>
  <c r="I69" i="6"/>
  <c r="F68" i="6"/>
  <c r="AN19" i="6"/>
  <c r="I71" i="6"/>
  <c r="F70" i="6"/>
  <c r="I73" i="6"/>
  <c r="F72" i="6"/>
  <c r="I75" i="6"/>
  <c r="F74" i="6"/>
  <c r="I77" i="6"/>
  <c r="F76" i="6"/>
  <c r="I79" i="6"/>
  <c r="F78" i="6"/>
  <c r="I81" i="6"/>
  <c r="F80" i="6"/>
  <c r="I83" i="6"/>
  <c r="F82" i="6"/>
  <c r="I85" i="6"/>
  <c r="F84" i="6"/>
  <c r="I87" i="6"/>
  <c r="F86" i="6"/>
  <c r="I89" i="6"/>
  <c r="F88" i="6"/>
  <c r="I91" i="6"/>
  <c r="F90" i="6"/>
  <c r="F100" i="6"/>
  <c r="I101" i="6"/>
  <c r="F102" i="6"/>
  <c r="I103" i="6"/>
  <c r="F104" i="6"/>
  <c r="I105" i="6"/>
  <c r="F106" i="6"/>
  <c r="I107" i="6"/>
  <c r="F108" i="6"/>
  <c r="I109" i="6"/>
  <c r="F110" i="6"/>
  <c r="I111" i="6"/>
  <c r="F112" i="6"/>
  <c r="I113" i="6"/>
  <c r="F114" i="6"/>
  <c r="I115" i="6"/>
  <c r="F116" i="6"/>
  <c r="I117" i="6"/>
  <c r="I119" i="6"/>
  <c r="F118" i="6"/>
  <c r="I121" i="6"/>
  <c r="F120" i="6"/>
  <c r="AN11" i="6"/>
  <c r="F122" i="6"/>
  <c r="I123" i="6"/>
  <c r="F124" i="6"/>
  <c r="I125" i="6"/>
  <c r="F126" i="6"/>
  <c r="I127" i="6"/>
  <c r="F128" i="6"/>
  <c r="I129" i="6"/>
  <c r="F130" i="6"/>
  <c r="I131" i="6"/>
  <c r="F132" i="6"/>
  <c r="I133" i="6"/>
  <c r="F134" i="6"/>
  <c r="I135" i="6"/>
  <c r="F136" i="6"/>
  <c r="I24" i="6"/>
  <c r="F23" i="6"/>
  <c r="I20" i="6"/>
  <c r="F19" i="6"/>
  <c r="I28" i="6"/>
  <c r="F27" i="6"/>
  <c r="M67" i="6"/>
  <c r="N67" i="6"/>
  <c r="P67" i="6" s="1"/>
  <c r="L67" i="6"/>
  <c r="O67" i="6" s="1"/>
  <c r="M63" i="6"/>
  <c r="N63" i="6"/>
  <c r="P63" i="6" s="1"/>
  <c r="L63" i="6"/>
  <c r="O63" i="6" s="1"/>
  <c r="M59" i="6"/>
  <c r="N59" i="6"/>
  <c r="P59" i="6" s="1"/>
  <c r="L59" i="6"/>
  <c r="O59" i="6" s="1"/>
  <c r="M55" i="6"/>
  <c r="N55" i="6"/>
  <c r="P55" i="6" s="1"/>
  <c r="L55" i="6"/>
  <c r="O55" i="6" s="1"/>
  <c r="M51" i="6"/>
  <c r="N51" i="6"/>
  <c r="P51" i="6" s="1"/>
  <c r="L51" i="6"/>
  <c r="O51" i="6" s="1"/>
  <c r="M47" i="6"/>
  <c r="N47" i="6"/>
  <c r="P47" i="6" s="1"/>
  <c r="L47" i="6"/>
  <c r="O47" i="6" s="1"/>
  <c r="M43" i="6"/>
  <c r="L43" i="6"/>
  <c r="O43" i="6" s="1"/>
  <c r="N43" i="6"/>
  <c r="P43" i="6" s="1"/>
  <c r="M39" i="6"/>
  <c r="L39" i="6"/>
  <c r="O39" i="6" s="1"/>
  <c r="N39" i="6"/>
  <c r="P39" i="6" s="1"/>
  <c r="M35" i="6"/>
  <c r="N35" i="6"/>
  <c r="P35" i="6" s="1"/>
  <c r="L35" i="6"/>
  <c r="O35" i="6" s="1"/>
  <c r="M31" i="6"/>
  <c r="N31" i="6"/>
  <c r="P31" i="6" s="1"/>
  <c r="L31" i="6"/>
  <c r="O31" i="6" s="1"/>
  <c r="N27" i="6"/>
  <c r="P27" i="6" s="1"/>
  <c r="L27" i="6"/>
  <c r="O27" i="6" s="1"/>
  <c r="M27" i="6"/>
  <c r="N23" i="6"/>
  <c r="P23" i="6" s="1"/>
  <c r="L23" i="6"/>
  <c r="O23" i="6" s="1"/>
  <c r="M23" i="6"/>
  <c r="N19" i="6"/>
  <c r="P19" i="6" s="1"/>
  <c r="L19" i="6"/>
  <c r="O19" i="6" s="1"/>
  <c r="M19" i="6"/>
  <c r="N136" i="6"/>
  <c r="P136" i="6" s="1"/>
  <c r="L136" i="6"/>
  <c r="O136" i="6" s="1"/>
  <c r="M136" i="6"/>
  <c r="N132" i="6"/>
  <c r="P132" i="6" s="1"/>
  <c r="L132" i="6"/>
  <c r="O132" i="6" s="1"/>
  <c r="M132" i="6"/>
  <c r="N128" i="6"/>
  <c r="P128" i="6" s="1"/>
  <c r="L128" i="6"/>
  <c r="O128" i="6" s="1"/>
  <c r="M128" i="6"/>
  <c r="N124" i="6"/>
  <c r="P124" i="6" s="1"/>
  <c r="L124" i="6"/>
  <c r="O124" i="6" s="1"/>
  <c r="M124" i="6"/>
  <c r="M120" i="6"/>
  <c r="L120" i="6"/>
  <c r="O120" i="6" s="1"/>
  <c r="N120" i="6"/>
  <c r="P120" i="6" s="1"/>
  <c r="N116" i="6"/>
  <c r="P116" i="6" s="1"/>
  <c r="L116" i="6"/>
  <c r="O116" i="6" s="1"/>
  <c r="M116" i="6"/>
  <c r="N112" i="6"/>
  <c r="P112" i="6" s="1"/>
  <c r="L112" i="6"/>
  <c r="O112" i="6" s="1"/>
  <c r="M112" i="6"/>
  <c r="N108" i="6"/>
  <c r="P108" i="6" s="1"/>
  <c r="L108" i="6"/>
  <c r="O108" i="6" s="1"/>
  <c r="M108" i="6"/>
  <c r="N104" i="6"/>
  <c r="P104" i="6" s="1"/>
  <c r="L104" i="6"/>
  <c r="O104" i="6" s="1"/>
  <c r="M104" i="6"/>
  <c r="N100" i="6"/>
  <c r="P100" i="6" s="1"/>
  <c r="L100" i="6"/>
  <c r="O100" i="6" s="1"/>
  <c r="M100" i="6"/>
  <c r="N96" i="6"/>
  <c r="P96" i="6" s="1"/>
  <c r="L96" i="6"/>
  <c r="O96" i="6" s="1"/>
  <c r="M96" i="6"/>
  <c r="N92" i="6"/>
  <c r="P92" i="6" s="1"/>
  <c r="L92" i="6"/>
  <c r="O92" i="6" s="1"/>
  <c r="M92" i="6"/>
  <c r="M88" i="6"/>
  <c r="N88" i="6"/>
  <c r="P88" i="6" s="1"/>
  <c r="L88" i="6"/>
  <c r="O88" i="6" s="1"/>
  <c r="M84" i="6"/>
  <c r="N84" i="6"/>
  <c r="P84" i="6" s="1"/>
  <c r="L84" i="6"/>
  <c r="O84" i="6" s="1"/>
  <c r="M80" i="6"/>
  <c r="N80" i="6"/>
  <c r="P80" i="6" s="1"/>
  <c r="L80" i="6"/>
  <c r="O80" i="6" s="1"/>
  <c r="M76" i="6"/>
  <c r="N76" i="6"/>
  <c r="P76" i="6" s="1"/>
  <c r="L76" i="6"/>
  <c r="O76" i="6" s="1"/>
  <c r="M72" i="6"/>
  <c r="N72" i="6"/>
  <c r="P72" i="6" s="1"/>
  <c r="L72" i="6"/>
  <c r="O72" i="6" s="1"/>
  <c r="M68" i="6"/>
  <c r="N68" i="6"/>
  <c r="P68" i="6" s="1"/>
  <c r="L68" i="6"/>
  <c r="O68" i="6" s="1"/>
  <c r="O77" i="6" l="1"/>
  <c r="C18" i="3" l="1"/>
  <c r="Q18" i="6" l="1"/>
  <c r="R18" i="6"/>
  <c r="U18" i="6" s="1"/>
  <c r="V18" i="6" s="1"/>
  <c r="C19" i="3" l="1"/>
  <c r="R19" i="6" s="1"/>
  <c r="U19" i="6" s="1"/>
  <c r="V19" i="6" s="1"/>
  <c r="Q19" i="6" l="1"/>
  <c r="C20" i="3"/>
  <c r="Q20" i="6" s="1"/>
  <c r="R20" i="6" l="1"/>
  <c r="U20" i="6" s="1"/>
  <c r="V20" i="6" s="1"/>
  <c r="C21" i="3"/>
  <c r="R21" i="6" s="1"/>
  <c r="U21" i="6" s="1"/>
  <c r="V21" i="6" s="1"/>
  <c r="Q21" i="6" l="1"/>
  <c r="C22" i="3"/>
  <c r="Q22" i="6" s="1"/>
  <c r="R22" i="6" l="1"/>
  <c r="U22" i="6" s="1"/>
  <c r="V22" i="6" s="1"/>
  <c r="C23" i="3"/>
  <c r="R23" i="6" s="1"/>
  <c r="U23" i="6" s="1"/>
  <c r="V23" i="6" s="1"/>
  <c r="C24" i="3" l="1"/>
  <c r="R24" i="6" s="1"/>
  <c r="U24" i="6" s="1"/>
  <c r="V24" i="6" s="1"/>
  <c r="Q23" i="6"/>
  <c r="Q24" i="6"/>
  <c r="C25" i="3" l="1"/>
  <c r="R25" i="6" s="1"/>
  <c r="U25" i="6" s="1"/>
  <c r="V25" i="6" s="1"/>
  <c r="Q25" i="6" l="1"/>
  <c r="C26" i="3"/>
  <c r="Q26" i="6" s="1"/>
  <c r="R26" i="6" l="1"/>
  <c r="U26" i="6" s="1"/>
  <c r="V26" i="6" s="1"/>
  <c r="C27" i="3"/>
  <c r="R27" i="6" s="1"/>
  <c r="U27" i="6" s="1"/>
  <c r="V27" i="6" s="1"/>
  <c r="Q27" i="6" l="1"/>
  <c r="C28" i="3"/>
  <c r="Q28" i="6" s="1"/>
  <c r="R28" i="6" l="1"/>
  <c r="U28" i="6" s="1"/>
  <c r="V28" i="6" s="1"/>
  <c r="C29" i="3"/>
  <c r="Q29" i="6" s="1"/>
  <c r="R29" i="6" l="1"/>
  <c r="U29" i="6" s="1"/>
  <c r="V29" i="6" s="1"/>
  <c r="C30" i="3"/>
  <c r="Q30" i="6" s="1"/>
  <c r="R30" i="6" l="1"/>
  <c r="U30" i="6" s="1"/>
  <c r="V30" i="6" s="1"/>
  <c r="C31" i="3"/>
  <c r="Q31" i="6" s="1"/>
  <c r="R31" i="6" l="1"/>
  <c r="U31" i="6" s="1"/>
  <c r="V31" i="6" s="1"/>
  <c r="C32" i="3"/>
  <c r="Q32" i="6" s="1"/>
  <c r="R32" i="6" l="1"/>
  <c r="U32" i="6" s="1"/>
  <c r="V32" i="6" s="1"/>
  <c r="C33" i="3"/>
  <c r="Q33" i="6" s="1"/>
  <c r="R33" i="6" l="1"/>
  <c r="U33" i="6" s="1"/>
  <c r="V33" i="6" s="1"/>
  <c r="C34" i="3"/>
  <c r="Q34" i="6" s="1"/>
  <c r="R34" i="6" l="1"/>
  <c r="U34" i="6" s="1"/>
  <c r="V34" i="6" s="1"/>
  <c r="C35" i="3"/>
  <c r="Q35" i="6" s="1"/>
  <c r="R35" i="6" l="1"/>
  <c r="U35" i="6" s="1"/>
  <c r="V35" i="6" s="1"/>
  <c r="C36" i="3"/>
  <c r="Q36" i="6" s="1"/>
  <c r="R36" i="6" l="1"/>
  <c r="U36" i="6" s="1"/>
  <c r="V36" i="6" s="1"/>
  <c r="C37" i="3"/>
  <c r="Q37" i="6" s="1"/>
  <c r="R37" i="6" l="1"/>
  <c r="U37" i="6" s="1"/>
  <c r="V37" i="6" s="1"/>
  <c r="C38" i="3"/>
  <c r="Q38" i="6" s="1"/>
  <c r="R38" i="6" l="1"/>
  <c r="U38" i="6" s="1"/>
  <c r="V38" i="6" s="1"/>
  <c r="C39" i="3"/>
  <c r="Q39" i="6" s="1"/>
  <c r="R39" i="6" l="1"/>
  <c r="U39" i="6" s="1"/>
  <c r="V39" i="6" s="1"/>
  <c r="C40" i="3"/>
  <c r="Q40" i="6" s="1"/>
  <c r="R40" i="6" l="1"/>
  <c r="U40" i="6" s="1"/>
  <c r="V40" i="6" s="1"/>
  <c r="C41" i="3"/>
  <c r="Q41" i="6" s="1"/>
  <c r="R41" i="6" l="1"/>
  <c r="U41" i="6" s="1"/>
  <c r="V41" i="6" s="1"/>
  <c r="C42" i="3"/>
  <c r="Q42" i="6" s="1"/>
  <c r="R42" i="6" l="1"/>
  <c r="U42" i="6" s="1"/>
  <c r="V42" i="6" s="1"/>
  <c r="C43" i="3"/>
  <c r="Q43" i="6" s="1"/>
  <c r="R43" i="6" l="1"/>
  <c r="U43" i="6" s="1"/>
  <c r="V43" i="6" s="1"/>
  <c r="C44" i="3"/>
  <c r="Q44" i="6" s="1"/>
  <c r="R44" i="6" l="1"/>
  <c r="U44" i="6" s="1"/>
  <c r="V44" i="6" s="1"/>
  <c r="C45" i="3"/>
  <c r="Q45" i="6" s="1"/>
  <c r="C46" i="3" l="1"/>
  <c r="R46" i="6" s="1"/>
  <c r="U46" i="6" s="1"/>
  <c r="V46" i="6" s="1"/>
  <c r="R45" i="6"/>
  <c r="U45" i="6" s="1"/>
  <c r="V45" i="6" s="1"/>
  <c r="Q46" i="6" l="1"/>
  <c r="C47" i="3"/>
  <c r="Q47" i="6" s="1"/>
  <c r="R47" i="6" l="1"/>
  <c r="U47" i="6" s="1"/>
  <c r="V47" i="6" s="1"/>
  <c r="C48" i="3"/>
  <c r="Q48" i="6" s="1"/>
  <c r="R48" i="6" l="1"/>
  <c r="U48" i="6" s="1"/>
  <c r="V48" i="6" s="1"/>
  <c r="C49" i="3"/>
  <c r="Q49" i="6" s="1"/>
  <c r="R49" i="6" l="1"/>
  <c r="U49" i="6" s="1"/>
  <c r="V49" i="6" s="1"/>
  <c r="C50" i="3"/>
  <c r="Q50" i="6" s="1"/>
  <c r="R50" i="6" l="1"/>
  <c r="U50" i="6" s="1"/>
  <c r="V50" i="6" s="1"/>
  <c r="C51" i="3"/>
  <c r="Q51" i="6" s="1"/>
  <c r="R51" i="6" l="1"/>
  <c r="U51" i="6" s="1"/>
  <c r="V51" i="6" s="1"/>
  <c r="C52" i="3"/>
  <c r="Q52" i="6" s="1"/>
  <c r="R52" i="6" l="1"/>
  <c r="U52" i="6" s="1"/>
  <c r="V52" i="6" s="1"/>
  <c r="C53" i="3"/>
  <c r="Q53" i="6" s="1"/>
  <c r="R53" i="6" l="1"/>
  <c r="U53" i="6" s="1"/>
  <c r="V53" i="6" s="1"/>
  <c r="C54" i="3"/>
  <c r="Q54" i="6" s="1"/>
  <c r="R54" i="6" l="1"/>
  <c r="U54" i="6" s="1"/>
  <c r="V54" i="6" s="1"/>
  <c r="C55" i="3"/>
  <c r="Q55" i="6" s="1"/>
  <c r="R55" i="6" l="1"/>
  <c r="U55" i="6" s="1"/>
  <c r="V55" i="6" s="1"/>
  <c r="C56" i="3"/>
  <c r="Q56" i="6" s="1"/>
  <c r="R56" i="6" l="1"/>
  <c r="U56" i="6" s="1"/>
  <c r="V56" i="6" s="1"/>
  <c r="C57" i="3"/>
  <c r="Q57" i="6" s="1"/>
  <c r="R57" i="6" l="1"/>
  <c r="U57" i="6" s="1"/>
  <c r="V57" i="6" s="1"/>
  <c r="C58" i="3"/>
  <c r="Q58" i="6" s="1"/>
  <c r="R58" i="6" l="1"/>
  <c r="U58" i="6" s="1"/>
  <c r="V58" i="6" s="1"/>
  <c r="C59" i="3"/>
  <c r="Q59" i="6" s="1"/>
  <c r="R59" i="6" l="1"/>
  <c r="U59" i="6" s="1"/>
  <c r="V59" i="6" s="1"/>
  <c r="C60" i="3"/>
  <c r="Q60" i="6" s="1"/>
  <c r="R60" i="6" l="1"/>
  <c r="U60" i="6" s="1"/>
  <c r="V60" i="6" s="1"/>
  <c r="C61" i="3"/>
  <c r="Q61" i="6" s="1"/>
  <c r="R61" i="6" l="1"/>
  <c r="U61" i="6" s="1"/>
  <c r="V61" i="6" s="1"/>
  <c r="C62" i="3"/>
  <c r="Q62" i="6" s="1"/>
  <c r="R62" i="6" l="1"/>
  <c r="U62" i="6" s="1"/>
  <c r="V62" i="6" s="1"/>
  <c r="C63" i="3"/>
  <c r="Q63" i="6" s="1"/>
  <c r="R63" i="6" l="1"/>
  <c r="U63" i="6" s="1"/>
  <c r="V63" i="6" s="1"/>
  <c r="C64" i="3"/>
  <c r="Q64" i="6" s="1"/>
  <c r="R64" i="6" l="1"/>
  <c r="U64" i="6" s="1"/>
  <c r="V64" i="6" s="1"/>
  <c r="C65" i="3"/>
  <c r="Q65" i="6" s="1"/>
  <c r="R65" i="6" l="1"/>
  <c r="U65" i="6" s="1"/>
  <c r="V65" i="6" s="1"/>
  <c r="C66" i="3"/>
  <c r="Q66" i="6" s="1"/>
  <c r="R66" i="6" l="1"/>
  <c r="U66" i="6" s="1"/>
  <c r="V66" i="6" s="1"/>
  <c r="C67" i="3"/>
  <c r="Q67" i="6" s="1"/>
  <c r="R67" i="6" l="1"/>
  <c r="U67" i="6" s="1"/>
  <c r="V67" i="6" s="1"/>
  <c r="C68" i="3"/>
  <c r="Q68" i="6" s="1"/>
  <c r="R68" i="6" l="1"/>
  <c r="U68" i="6" s="1"/>
  <c r="V68" i="6" s="1"/>
  <c r="C69" i="3"/>
  <c r="Q69" i="6" s="1"/>
  <c r="R69" i="6" l="1"/>
  <c r="U69" i="6" s="1"/>
  <c r="V69" i="6" s="1"/>
  <c r="C70" i="3"/>
  <c r="Q70" i="6" s="1"/>
  <c r="R70" i="6" l="1"/>
  <c r="U70" i="6" s="1"/>
  <c r="V70" i="6" s="1"/>
  <c r="C71" i="3"/>
  <c r="Q71" i="6" s="1"/>
  <c r="R71" i="6" l="1"/>
  <c r="U71" i="6" s="1"/>
  <c r="V71" i="6" s="1"/>
  <c r="C72" i="3"/>
  <c r="Q72" i="6" s="1"/>
  <c r="R72" i="6" l="1"/>
  <c r="U72" i="6" s="1"/>
  <c r="V72" i="6" s="1"/>
  <c r="C73" i="3"/>
  <c r="Q73" i="6" s="1"/>
  <c r="R73" i="6" l="1"/>
  <c r="U73" i="6" s="1"/>
  <c r="V73" i="6" s="1"/>
  <c r="C74" i="3"/>
  <c r="Q74" i="6" s="1"/>
  <c r="R74" i="6" l="1"/>
  <c r="U74" i="6" s="1"/>
  <c r="V74" i="6" s="1"/>
  <c r="C75" i="3"/>
  <c r="Q75" i="6" s="1"/>
  <c r="R75" i="6" l="1"/>
  <c r="U75" i="6" s="1"/>
  <c r="V75" i="6" s="1"/>
  <c r="C76" i="3"/>
  <c r="Q76" i="6" s="1"/>
  <c r="R76" i="6" l="1"/>
  <c r="U76" i="6" s="1"/>
  <c r="V76" i="6" s="1"/>
  <c r="C77" i="3" l="1"/>
  <c r="K34" i="3"/>
  <c r="C78" i="3"/>
  <c r="Q78" i="6" s="1"/>
  <c r="R78" i="6" l="1"/>
  <c r="U78" i="6" s="1"/>
  <c r="V78" i="6" s="1"/>
  <c r="R77" i="6"/>
  <c r="U77" i="6" s="1"/>
  <c r="V77" i="6" s="1"/>
  <c r="Q77" i="6"/>
  <c r="C79" i="3"/>
  <c r="Q79" i="6" s="1"/>
  <c r="R79" i="6" l="1"/>
  <c r="U79" i="6" s="1"/>
  <c r="V79" i="6" s="1"/>
  <c r="C80" i="3"/>
  <c r="Q80" i="6" s="1"/>
  <c r="R80" i="6" l="1"/>
  <c r="U80" i="6" s="1"/>
  <c r="V80" i="6" s="1"/>
  <c r="C81" i="3"/>
  <c r="Q81" i="6" s="1"/>
  <c r="R81" i="6" l="1"/>
  <c r="U81" i="6" s="1"/>
  <c r="V81" i="6" s="1"/>
  <c r="C82" i="3"/>
  <c r="Q82" i="6" s="1"/>
  <c r="R82" i="6" l="1"/>
  <c r="U82" i="6" s="1"/>
  <c r="V82" i="6" s="1"/>
  <c r="C83" i="3"/>
  <c r="Q83" i="6" s="1"/>
  <c r="R83" i="6" l="1"/>
  <c r="U83" i="6" s="1"/>
  <c r="V83" i="6" s="1"/>
  <c r="C84" i="3"/>
  <c r="Q84" i="6" s="1"/>
  <c r="R84" i="6" l="1"/>
  <c r="U84" i="6" s="1"/>
  <c r="V84" i="6" s="1"/>
  <c r="C85" i="3"/>
  <c r="Q85" i="6" s="1"/>
  <c r="R85" i="6" l="1"/>
  <c r="U85" i="6" s="1"/>
  <c r="V85" i="6" s="1"/>
  <c r="C86" i="3"/>
  <c r="Q86" i="6" s="1"/>
  <c r="C87" i="3" l="1"/>
  <c r="R87" i="6" s="1"/>
  <c r="U87" i="6" s="1"/>
  <c r="V87" i="6" s="1"/>
  <c r="R86" i="6"/>
  <c r="U86" i="6" s="1"/>
  <c r="V86" i="6" s="1"/>
  <c r="Q87" i="6"/>
  <c r="C88" i="3" l="1"/>
  <c r="Q88" i="6" s="1"/>
  <c r="R88" i="6" l="1"/>
  <c r="U88" i="6" s="1"/>
  <c r="V88" i="6" s="1"/>
  <c r="C89" i="3"/>
  <c r="Q89" i="6" s="1"/>
  <c r="R89" i="6" l="1"/>
  <c r="U89" i="6" s="1"/>
  <c r="V89" i="6" s="1"/>
  <c r="C90" i="3"/>
  <c r="Q90" i="6" s="1"/>
  <c r="R90" i="6" l="1"/>
  <c r="U90" i="6" s="1"/>
  <c r="V90" i="6" s="1"/>
  <c r="C91" i="3"/>
  <c r="R91" i="6" s="1"/>
  <c r="U91" i="6" s="1"/>
  <c r="V91" i="6" s="1"/>
  <c r="Q91" i="6" l="1"/>
  <c r="C92" i="3"/>
  <c r="R92" i="6" s="1"/>
  <c r="U92" i="6" s="1"/>
  <c r="V92" i="6" s="1"/>
  <c r="Q92" i="6" l="1"/>
  <c r="C93" i="3"/>
  <c r="R93" i="6" s="1"/>
  <c r="U93" i="6" s="1"/>
  <c r="V93" i="6" s="1"/>
  <c r="Q93" i="6" l="1"/>
  <c r="C94" i="3"/>
  <c r="R94" i="6" s="1"/>
  <c r="U94" i="6" s="1"/>
  <c r="V94" i="6" s="1"/>
  <c r="Q94" i="6" l="1"/>
  <c r="C95" i="3"/>
  <c r="R95" i="6" s="1"/>
  <c r="U95" i="6" s="1"/>
  <c r="V95" i="6" s="1"/>
  <c r="Q95" i="6" l="1"/>
  <c r="C96" i="3"/>
  <c r="R96" i="6" s="1"/>
  <c r="U96" i="6" s="1"/>
  <c r="V96" i="6" s="1"/>
  <c r="Q96" i="6" l="1"/>
  <c r="C97" i="3"/>
  <c r="R97" i="6" s="1"/>
  <c r="U97" i="6" s="1"/>
  <c r="V97" i="6" s="1"/>
  <c r="Q97" i="6" l="1"/>
  <c r="C98" i="3"/>
  <c r="R98" i="6" s="1"/>
  <c r="U98" i="6" s="1"/>
  <c r="V98" i="6" s="1"/>
  <c r="Q98" i="6" l="1"/>
  <c r="C99" i="3"/>
  <c r="R99" i="6" s="1"/>
  <c r="U99" i="6" s="1"/>
  <c r="V99" i="6" s="1"/>
  <c r="Q99" i="6" l="1"/>
  <c r="C100" i="3"/>
  <c r="R100" i="6" s="1"/>
  <c r="U100" i="6" s="1"/>
  <c r="V100" i="6" s="1"/>
  <c r="Q100" i="6" l="1"/>
  <c r="C101" i="3"/>
  <c r="R101" i="6" s="1"/>
  <c r="U101" i="6" s="1"/>
  <c r="V101" i="6" s="1"/>
  <c r="Q101" i="6" l="1"/>
  <c r="C102" i="3"/>
  <c r="R102" i="6" s="1"/>
  <c r="U102" i="6" s="1"/>
  <c r="V102" i="6" s="1"/>
  <c r="Q102" i="6" l="1"/>
  <c r="C103" i="3"/>
  <c r="R103" i="6" s="1"/>
  <c r="U103" i="6" s="1"/>
  <c r="V103" i="6" s="1"/>
  <c r="Q103" i="6" l="1"/>
  <c r="C104" i="3"/>
  <c r="R104" i="6" s="1"/>
  <c r="U104" i="6" s="1"/>
  <c r="V104" i="6" s="1"/>
  <c r="Q104" i="6" l="1"/>
  <c r="C105" i="3"/>
  <c r="R105" i="6" s="1"/>
  <c r="U105" i="6" s="1"/>
  <c r="V105" i="6" s="1"/>
  <c r="C106" i="3" l="1"/>
  <c r="Q106" i="6" s="1"/>
  <c r="Q105" i="6"/>
  <c r="R106" i="6" l="1"/>
  <c r="U106" i="6" s="1"/>
  <c r="V106" i="6" s="1"/>
  <c r="C107" i="3"/>
  <c r="R107" i="6" s="1"/>
  <c r="U107" i="6" s="1"/>
  <c r="V107" i="6" s="1"/>
  <c r="Q107" i="6" l="1"/>
  <c r="C108" i="3"/>
  <c r="R108" i="6" s="1"/>
  <c r="U108" i="6" s="1"/>
  <c r="V108" i="6" s="1"/>
  <c r="Q108" i="6" l="1"/>
  <c r="C109" i="3"/>
  <c r="R109" i="6" s="1"/>
  <c r="U109" i="6" s="1"/>
  <c r="V109" i="6" s="1"/>
  <c r="Q109" i="6" l="1"/>
  <c r="C110" i="3"/>
  <c r="R110" i="6" s="1"/>
  <c r="U110" i="6" s="1"/>
  <c r="V110" i="6" s="1"/>
  <c r="Q110" i="6" l="1"/>
  <c r="C111" i="3"/>
  <c r="R111" i="6" s="1"/>
  <c r="U111" i="6" s="1"/>
  <c r="V111" i="6" s="1"/>
  <c r="Q111" i="6" l="1"/>
  <c r="C112" i="3"/>
  <c r="R112" i="6" s="1"/>
  <c r="U112" i="6" s="1"/>
  <c r="V112" i="6" s="1"/>
  <c r="Q112" i="6" l="1"/>
  <c r="C113" i="3"/>
  <c r="R113" i="6" s="1"/>
  <c r="U113" i="6" s="1"/>
  <c r="V113" i="6" s="1"/>
  <c r="C114" i="3" l="1"/>
  <c r="Q114" i="6" s="1"/>
  <c r="Q113" i="6"/>
  <c r="R114" i="6" l="1"/>
  <c r="U114" i="6" s="1"/>
  <c r="V114" i="6" s="1"/>
  <c r="C115" i="3"/>
  <c r="R115" i="6" s="1"/>
  <c r="U115" i="6" s="1"/>
  <c r="V115" i="6" s="1"/>
  <c r="Q115" i="6" l="1"/>
  <c r="C116" i="3"/>
  <c r="R116" i="6" s="1"/>
  <c r="U116" i="6" s="1"/>
  <c r="V116" i="6" s="1"/>
  <c r="C117" i="3" l="1"/>
  <c r="Q117" i="6" s="1"/>
  <c r="Q116" i="6"/>
  <c r="R117" i="6" l="1"/>
  <c r="U117" i="6" s="1"/>
  <c r="V117" i="6" s="1"/>
  <c r="C118" i="3"/>
  <c r="R118" i="6" s="1"/>
  <c r="U118" i="6" s="1"/>
  <c r="V118" i="6" s="1"/>
  <c r="Q118" i="6" l="1"/>
  <c r="C119" i="3"/>
  <c r="Q119" i="6" s="1"/>
  <c r="C120" i="3" l="1"/>
  <c r="R120" i="6" s="1"/>
  <c r="U120" i="6" s="1"/>
  <c r="V120" i="6" s="1"/>
  <c r="R119" i="6"/>
  <c r="U119" i="6" s="1"/>
  <c r="V119" i="6" s="1"/>
  <c r="Q120" i="6" l="1"/>
  <c r="C121" i="3"/>
  <c r="R121" i="6" s="1"/>
  <c r="U121" i="6" s="1"/>
  <c r="V121" i="6" s="1"/>
  <c r="Q121" i="6" l="1"/>
  <c r="C122" i="3"/>
  <c r="R122" i="6" s="1"/>
  <c r="U122" i="6" s="1"/>
  <c r="V122" i="6" s="1"/>
  <c r="C123" i="3" l="1"/>
  <c r="R123" i="6" s="1"/>
  <c r="U123" i="6" s="1"/>
  <c r="V123" i="6" s="1"/>
  <c r="Q122" i="6"/>
  <c r="Q123" i="6" l="1"/>
  <c r="C124" i="3"/>
  <c r="R124" i="6" s="1"/>
  <c r="U124" i="6" s="1"/>
  <c r="V124" i="6" s="1"/>
  <c r="Q124" i="6" l="1"/>
  <c r="C125" i="3"/>
  <c r="R125" i="6" s="1"/>
  <c r="U125" i="6" s="1"/>
  <c r="V125" i="6" s="1"/>
  <c r="C126" i="3" l="1"/>
  <c r="Q126" i="6" s="1"/>
  <c r="Q125" i="6"/>
  <c r="R126" i="6" l="1"/>
  <c r="U126" i="6" s="1"/>
  <c r="V126" i="6" s="1"/>
  <c r="C127" i="3"/>
  <c r="R127" i="6" s="1"/>
  <c r="U127" i="6" s="1"/>
  <c r="V127" i="6" s="1"/>
  <c r="Q127" i="6" l="1"/>
  <c r="C128" i="3"/>
  <c r="R128" i="6" s="1"/>
  <c r="U128" i="6" s="1"/>
  <c r="V128" i="6" s="1"/>
  <c r="Q128" i="6" l="1"/>
  <c r="C129" i="3"/>
  <c r="R129" i="6" s="1"/>
  <c r="U129" i="6" s="1"/>
  <c r="V129" i="6" s="1"/>
  <c r="Q129" i="6" l="1"/>
  <c r="C130" i="3"/>
  <c r="R130" i="6" s="1"/>
  <c r="U130" i="6" s="1"/>
  <c r="V130" i="6" s="1"/>
  <c r="Q130" i="6" l="1"/>
  <c r="C131" i="3"/>
  <c r="R131" i="6" s="1"/>
  <c r="U131" i="6" s="1"/>
  <c r="V131" i="6" s="1"/>
  <c r="C132" i="3" l="1"/>
  <c r="Q132" i="6" s="1"/>
  <c r="Q131" i="6"/>
  <c r="R132" i="6" l="1"/>
  <c r="U132" i="6" s="1"/>
  <c r="V132" i="6" s="1"/>
  <c r="C133" i="3"/>
  <c r="R133" i="6" s="1"/>
  <c r="U133" i="6" s="1"/>
  <c r="V133" i="6" s="1"/>
  <c r="C134" i="3" l="1"/>
  <c r="Q134" i="6" s="1"/>
  <c r="Q133" i="6"/>
  <c r="R134" i="6" l="1"/>
  <c r="U134" i="6" s="1"/>
  <c r="V134" i="6" s="1"/>
  <c r="C135" i="3"/>
  <c r="R135" i="6" s="1"/>
  <c r="U135" i="6" s="1"/>
  <c r="V135" i="6" s="1"/>
  <c r="Q135" i="6" l="1"/>
  <c r="D135" i="3" l="1"/>
  <c r="C136" i="3"/>
  <c r="D18" i="3"/>
  <c r="D20" i="3"/>
  <c r="D22" i="3"/>
  <c r="D24" i="3"/>
  <c r="D26" i="3"/>
  <c r="D28" i="3"/>
  <c r="D30" i="3"/>
  <c r="D32" i="3"/>
  <c r="D34" i="3"/>
  <c r="D36" i="3"/>
  <c r="D38" i="3"/>
  <c r="D40" i="3"/>
  <c r="D42" i="3"/>
  <c r="D44" i="3"/>
  <c r="D46" i="3"/>
  <c r="D48" i="3"/>
  <c r="D50" i="3"/>
  <c r="D52" i="3"/>
  <c r="D54" i="3"/>
  <c r="D56" i="3"/>
  <c r="D58" i="3"/>
  <c r="D60" i="3"/>
  <c r="D62" i="3"/>
  <c r="D64" i="3"/>
  <c r="D66" i="3"/>
  <c r="D68" i="3"/>
  <c r="D70" i="3"/>
  <c r="D72" i="3"/>
  <c r="D74" i="3"/>
  <c r="D76" i="3"/>
  <c r="D78" i="3"/>
  <c r="D80" i="3"/>
  <c r="D82" i="3"/>
  <c r="D84" i="3"/>
  <c r="D86" i="3"/>
  <c r="D88" i="3"/>
  <c r="D90" i="3"/>
  <c r="D92" i="3"/>
  <c r="D94" i="3"/>
  <c r="D96" i="3"/>
  <c r="D98" i="3"/>
  <c r="D100" i="3"/>
  <c r="D102" i="3"/>
  <c r="D104" i="3"/>
  <c r="D106" i="3"/>
  <c r="D136" i="3"/>
  <c r="D19" i="3"/>
  <c r="D21" i="3"/>
  <c r="D23" i="3"/>
  <c r="D25" i="3"/>
  <c r="D27" i="3"/>
  <c r="D29" i="3"/>
  <c r="D31" i="3"/>
  <c r="D33" i="3"/>
  <c r="D35" i="3"/>
  <c r="D37" i="3"/>
  <c r="D39" i="3"/>
  <c r="D41" i="3"/>
  <c r="D43" i="3"/>
  <c r="D45" i="3"/>
  <c r="D47" i="3"/>
  <c r="D49" i="3"/>
  <c r="D51" i="3"/>
  <c r="D53" i="3"/>
  <c r="D55" i="3"/>
  <c r="D57" i="3"/>
  <c r="D59" i="3"/>
  <c r="D61" i="3"/>
  <c r="D63" i="3"/>
  <c r="D65" i="3"/>
  <c r="D67" i="3"/>
  <c r="D69" i="3"/>
  <c r="D71" i="3"/>
  <c r="D73" i="3"/>
  <c r="D75" i="3"/>
  <c r="D77" i="3"/>
  <c r="D79" i="3"/>
  <c r="D81" i="3"/>
  <c r="D83" i="3"/>
  <c r="D85" i="3"/>
  <c r="D87" i="3"/>
  <c r="D89" i="3"/>
  <c r="D91" i="3"/>
  <c r="D93" i="3"/>
  <c r="D95" i="3"/>
  <c r="D97" i="3"/>
  <c r="D99" i="3"/>
  <c r="D101" i="3"/>
  <c r="D103" i="3"/>
  <c r="D105" i="3"/>
  <c r="D108" i="3"/>
  <c r="D110" i="3"/>
  <c r="D112" i="3"/>
  <c r="D114" i="3"/>
  <c r="D116" i="3"/>
  <c r="D118" i="3"/>
  <c r="D120" i="3"/>
  <c r="D122" i="3"/>
  <c r="D124" i="3"/>
  <c r="D126" i="3"/>
  <c r="D128" i="3"/>
  <c r="D130" i="3"/>
  <c r="D132" i="3"/>
  <c r="D134" i="3"/>
  <c r="D107" i="3"/>
  <c r="D109" i="3"/>
  <c r="D111" i="3"/>
  <c r="D113" i="3"/>
  <c r="D115" i="3"/>
  <c r="D117" i="3"/>
  <c r="D119" i="3"/>
  <c r="D121" i="3"/>
  <c r="D123" i="3"/>
  <c r="D125" i="3"/>
  <c r="D127" i="3"/>
  <c r="D129" i="3"/>
  <c r="D131" i="3"/>
  <c r="D133" i="3"/>
  <c r="G135" i="6" l="1"/>
  <c r="R136" i="6"/>
  <c r="U136" i="6" s="1"/>
  <c r="V136" i="6" s="1"/>
  <c r="P9" i="6" s="1"/>
  <c r="G136" i="6"/>
  <c r="G18" i="6"/>
  <c r="H18" i="6" s="1"/>
  <c r="G20" i="6"/>
  <c r="G22" i="6"/>
  <c r="G24" i="6"/>
  <c r="G26" i="6"/>
  <c r="G28" i="6"/>
  <c r="G30" i="6"/>
  <c r="G32" i="6"/>
  <c r="G34" i="6"/>
  <c r="G36" i="6"/>
  <c r="G38" i="6"/>
  <c r="G40" i="6"/>
  <c r="G42" i="6"/>
  <c r="G44" i="6"/>
  <c r="G46" i="6"/>
  <c r="G48" i="6"/>
  <c r="G50" i="6"/>
  <c r="G52" i="6"/>
  <c r="G54" i="6"/>
  <c r="G56" i="6"/>
  <c r="G58" i="6"/>
  <c r="G60" i="6"/>
  <c r="G62" i="6"/>
  <c r="G64" i="6"/>
  <c r="G66" i="6"/>
  <c r="G68" i="6"/>
  <c r="G70" i="6"/>
  <c r="G72" i="6"/>
  <c r="G74" i="6"/>
  <c r="G76" i="6"/>
  <c r="G78" i="6"/>
  <c r="G80" i="6"/>
  <c r="G82" i="6"/>
  <c r="G84" i="6"/>
  <c r="G86" i="6"/>
  <c r="G88" i="6"/>
  <c r="G90" i="6"/>
  <c r="G92" i="6"/>
  <c r="G94" i="6"/>
  <c r="G96" i="6"/>
  <c r="G98" i="6"/>
  <c r="G100" i="6"/>
  <c r="G102" i="6"/>
  <c r="G104" i="6"/>
  <c r="G106" i="6"/>
  <c r="G108" i="6"/>
  <c r="G110" i="6"/>
  <c r="G112" i="6"/>
  <c r="G114" i="6"/>
  <c r="G116" i="6"/>
  <c r="G118" i="6"/>
  <c r="G120" i="6"/>
  <c r="G122" i="6"/>
  <c r="G124" i="6"/>
  <c r="G126" i="6"/>
  <c r="G128" i="6"/>
  <c r="G130" i="6"/>
  <c r="G132" i="6"/>
  <c r="G134" i="6"/>
  <c r="Q136" i="6"/>
  <c r="H30" i="3"/>
  <c r="G19" i="6"/>
  <c r="G21" i="6"/>
  <c r="G23" i="6"/>
  <c r="G25" i="6"/>
  <c r="G27" i="6"/>
  <c r="G29" i="6"/>
  <c r="G31" i="6"/>
  <c r="G33" i="6"/>
  <c r="G35" i="6"/>
  <c r="G37" i="6"/>
  <c r="G39" i="6"/>
  <c r="G41" i="6"/>
  <c r="G43" i="6"/>
  <c r="G45" i="6"/>
  <c r="G47" i="6"/>
  <c r="G49" i="6"/>
  <c r="G51" i="6"/>
  <c r="G53" i="6"/>
  <c r="G55" i="6"/>
  <c r="G57" i="6"/>
  <c r="G59" i="6"/>
  <c r="G61" i="6"/>
  <c r="G63" i="6"/>
  <c r="G65" i="6"/>
  <c r="G67" i="6"/>
  <c r="G69" i="6"/>
  <c r="G71" i="6"/>
  <c r="G73" i="6"/>
  <c r="G75" i="6"/>
  <c r="G77" i="6"/>
  <c r="G79" i="6"/>
  <c r="G81" i="6"/>
  <c r="G83" i="6"/>
  <c r="G85" i="6"/>
  <c r="G87" i="6"/>
  <c r="G89" i="6"/>
  <c r="G91" i="6"/>
  <c r="G93" i="6"/>
  <c r="G95" i="6"/>
  <c r="G97" i="6"/>
  <c r="G99" i="6"/>
  <c r="G101" i="6"/>
  <c r="G103" i="6"/>
  <c r="G105" i="6"/>
  <c r="G107" i="6"/>
  <c r="G109" i="6"/>
  <c r="G111" i="6"/>
  <c r="G113" i="6"/>
  <c r="G115" i="6"/>
  <c r="G117" i="6"/>
  <c r="G119" i="6"/>
  <c r="G121" i="6"/>
  <c r="G123" i="6"/>
  <c r="G125" i="6"/>
  <c r="G127" i="6"/>
  <c r="G129" i="6"/>
  <c r="G131" i="6"/>
  <c r="G133" i="6"/>
  <c r="H136" i="6" l="1"/>
  <c r="H133" i="6"/>
  <c r="H129" i="6"/>
  <c r="H125" i="6"/>
  <c r="H121" i="6"/>
  <c r="H117" i="6"/>
  <c r="H113" i="6"/>
  <c r="H109" i="6"/>
  <c r="H105" i="6"/>
  <c r="H101" i="6"/>
  <c r="H97" i="6"/>
  <c r="H93" i="6"/>
  <c r="H89" i="6"/>
  <c r="H85" i="6"/>
  <c r="H81" i="6"/>
  <c r="H77" i="6"/>
  <c r="H73" i="6"/>
  <c r="H69" i="6"/>
  <c r="H65" i="6"/>
  <c r="H61" i="6"/>
  <c r="H57" i="6"/>
  <c r="H53" i="6"/>
  <c r="H49" i="6"/>
  <c r="H45" i="6"/>
  <c r="H41" i="6"/>
  <c r="H37" i="6"/>
  <c r="H33" i="6"/>
  <c r="H29" i="6"/>
  <c r="H25" i="6"/>
  <c r="H21" i="6"/>
  <c r="H131" i="6"/>
  <c r="H127" i="6"/>
  <c r="H123" i="6"/>
  <c r="H119" i="6"/>
  <c r="H115" i="6"/>
  <c r="H111" i="6"/>
  <c r="H107" i="6"/>
  <c r="H103" i="6"/>
  <c r="H99" i="6"/>
  <c r="H95" i="6"/>
  <c r="H91" i="6"/>
  <c r="H87" i="6"/>
  <c r="H83" i="6"/>
  <c r="H79" i="6"/>
  <c r="H75" i="6"/>
  <c r="H71" i="6"/>
  <c r="H67" i="6"/>
  <c r="H63" i="6"/>
  <c r="H59" i="6"/>
  <c r="H55" i="6"/>
  <c r="H51" i="6"/>
  <c r="H47" i="6"/>
  <c r="H43" i="6"/>
  <c r="H39" i="6"/>
  <c r="H35" i="6"/>
  <c r="H31" i="6"/>
  <c r="H27" i="6"/>
  <c r="H23" i="6"/>
  <c r="H19" i="6"/>
  <c r="AO27" i="6"/>
  <c r="AP27" i="6" s="1"/>
  <c r="D18" i="6"/>
  <c r="C18" i="6"/>
  <c r="D20" i="6"/>
  <c r="C20" i="6"/>
  <c r="AO26" i="6"/>
  <c r="C22" i="6"/>
  <c r="D22" i="6"/>
  <c r="C78" i="6"/>
  <c r="D78" i="6"/>
  <c r="C80" i="6"/>
  <c r="D80" i="6"/>
  <c r="D82" i="6"/>
  <c r="C82" i="6"/>
  <c r="D65" i="6"/>
  <c r="C65" i="6"/>
  <c r="D67" i="6"/>
  <c r="C67" i="6"/>
  <c r="C69" i="6"/>
  <c r="D69" i="6"/>
  <c r="C71" i="6"/>
  <c r="D71" i="6"/>
  <c r="C73" i="6"/>
  <c r="AO18" i="6"/>
  <c r="D73" i="6"/>
  <c r="D75" i="6"/>
  <c r="C75" i="6"/>
  <c r="D77" i="6"/>
  <c r="C77" i="6"/>
  <c r="H132" i="6"/>
  <c r="H128" i="6"/>
  <c r="H124" i="6"/>
  <c r="H120" i="6"/>
  <c r="H116" i="6"/>
  <c r="H112" i="6"/>
  <c r="H108" i="6"/>
  <c r="H104" i="6"/>
  <c r="H100" i="6"/>
  <c r="H96" i="6"/>
  <c r="H92" i="6"/>
  <c r="H88" i="6"/>
  <c r="H84" i="6"/>
  <c r="H80" i="6"/>
  <c r="H76" i="6"/>
  <c r="H72" i="6"/>
  <c r="H68" i="6"/>
  <c r="H64" i="6"/>
  <c r="H60" i="6"/>
  <c r="H56" i="6"/>
  <c r="H52" i="6"/>
  <c r="H48" i="6"/>
  <c r="H44" i="6"/>
  <c r="H40" i="6"/>
  <c r="H36" i="6"/>
  <c r="H32" i="6"/>
  <c r="H28" i="6"/>
  <c r="H24" i="6"/>
  <c r="H20" i="6"/>
  <c r="H135" i="6"/>
  <c r="D23" i="6"/>
  <c r="C23" i="6"/>
  <c r="C79" i="6"/>
  <c r="D79" i="6"/>
  <c r="C81" i="6"/>
  <c r="AO17" i="6"/>
  <c r="D81" i="6"/>
  <c r="D83" i="6"/>
  <c r="C83" i="6"/>
  <c r="C99" i="6"/>
  <c r="D99" i="6"/>
  <c r="AO14" i="6"/>
  <c r="D101" i="6"/>
  <c r="C101" i="6"/>
  <c r="D103" i="6"/>
  <c r="C103" i="6"/>
  <c r="D105" i="6"/>
  <c r="C105" i="6"/>
  <c r="D107" i="6"/>
  <c r="AO13" i="6"/>
  <c r="AP13" i="6" s="1"/>
  <c r="C107" i="6"/>
  <c r="C109" i="6"/>
  <c r="D109" i="6"/>
  <c r="C111" i="6"/>
  <c r="D111" i="6"/>
  <c r="C113" i="6"/>
  <c r="D113" i="6"/>
  <c r="C115" i="6"/>
  <c r="D115" i="6"/>
  <c r="C117" i="6"/>
  <c r="D117" i="6"/>
  <c r="AO12" i="6"/>
  <c r="AP12" i="6" s="1"/>
  <c r="D119" i="6"/>
  <c r="C119" i="6"/>
  <c r="D121" i="6"/>
  <c r="C121" i="6"/>
  <c r="C123" i="6"/>
  <c r="D123" i="6"/>
  <c r="C125" i="6"/>
  <c r="D125" i="6"/>
  <c r="AO10" i="6"/>
  <c r="D127" i="6"/>
  <c r="C127" i="6"/>
  <c r="D129" i="6"/>
  <c r="C129" i="6"/>
  <c r="D131" i="6"/>
  <c r="C131" i="6"/>
  <c r="D133" i="6"/>
  <c r="AO9" i="6"/>
  <c r="AP9" i="6" s="1"/>
  <c r="C133" i="6"/>
  <c r="C135" i="6"/>
  <c r="D135" i="6"/>
  <c r="AO8" i="6"/>
  <c r="C136" i="6"/>
  <c r="D136" i="6"/>
  <c r="D84" i="6"/>
  <c r="C84" i="6"/>
  <c r="D86" i="6"/>
  <c r="C86" i="6"/>
  <c r="D88" i="6"/>
  <c r="C88" i="6"/>
  <c r="D90" i="6"/>
  <c r="C90" i="6"/>
  <c r="D92" i="6"/>
  <c r="C92" i="6"/>
  <c r="D94" i="6"/>
  <c r="C94" i="6"/>
  <c r="C96" i="6"/>
  <c r="D96" i="6"/>
  <c r="C98" i="6"/>
  <c r="D98" i="6"/>
  <c r="C19" i="6"/>
  <c r="D19" i="6"/>
  <c r="C21" i="6"/>
  <c r="D21" i="6"/>
  <c r="C25" i="6"/>
  <c r="D25" i="6"/>
  <c r="C27" i="6"/>
  <c r="D27" i="6"/>
  <c r="AO25" i="6"/>
  <c r="C29" i="6"/>
  <c r="D29" i="6"/>
  <c r="C31" i="6"/>
  <c r="D31" i="6"/>
  <c r="C33" i="6"/>
  <c r="D33" i="6"/>
  <c r="C35" i="6"/>
  <c r="D35" i="6"/>
  <c r="C37" i="6"/>
  <c r="D37" i="6"/>
  <c r="C39" i="6"/>
  <c r="AO24" i="6"/>
  <c r="AP24" i="6" s="1"/>
  <c r="D39" i="6"/>
  <c r="D41" i="6"/>
  <c r="C41" i="6"/>
  <c r="C43" i="6"/>
  <c r="D43" i="6"/>
  <c r="C45" i="6"/>
  <c r="D45" i="6"/>
  <c r="C47" i="6"/>
  <c r="AO22" i="6"/>
  <c r="D47" i="6"/>
  <c r="D49" i="6"/>
  <c r="C49" i="6"/>
  <c r="D51" i="6"/>
  <c r="C51" i="6"/>
  <c r="D53" i="6"/>
  <c r="C53" i="6"/>
  <c r="D55" i="6"/>
  <c r="C55" i="6"/>
  <c r="AO21" i="6"/>
  <c r="C57" i="6"/>
  <c r="D57" i="6"/>
  <c r="C59" i="6"/>
  <c r="D59" i="6"/>
  <c r="C61" i="6"/>
  <c r="D61" i="6"/>
  <c r="C63" i="6"/>
  <c r="D63" i="6"/>
  <c r="D100" i="6"/>
  <c r="C100" i="6"/>
  <c r="D102" i="6"/>
  <c r="C102" i="6"/>
  <c r="D104" i="6"/>
  <c r="C104" i="6"/>
  <c r="D106" i="6"/>
  <c r="C106" i="6"/>
  <c r="C108" i="6"/>
  <c r="D108" i="6"/>
  <c r="C110" i="6"/>
  <c r="D110" i="6"/>
  <c r="C112" i="6"/>
  <c r="D112" i="6"/>
  <c r="C114" i="6"/>
  <c r="D114" i="6"/>
  <c r="C116" i="6"/>
  <c r="D116" i="6"/>
  <c r="D118" i="6"/>
  <c r="C118" i="6"/>
  <c r="C120" i="6"/>
  <c r="AO11" i="6"/>
  <c r="AP11" i="6" s="1"/>
  <c r="D120" i="6"/>
  <c r="C122" i="6"/>
  <c r="D122" i="6"/>
  <c r="C124" i="6"/>
  <c r="D124" i="6"/>
  <c r="D126" i="6"/>
  <c r="C126" i="6"/>
  <c r="D128" i="6"/>
  <c r="C128" i="6"/>
  <c r="D130" i="6"/>
  <c r="C130" i="6"/>
  <c r="D132" i="6"/>
  <c r="C132" i="6"/>
  <c r="C134" i="6"/>
  <c r="D134" i="6"/>
  <c r="E136" i="3"/>
  <c r="J30" i="3"/>
  <c r="L30" i="3" s="1"/>
  <c r="M11" i="3" s="1"/>
  <c r="P11" i="6" s="1"/>
  <c r="E19" i="3"/>
  <c r="E21" i="3"/>
  <c r="E23" i="3"/>
  <c r="E25" i="3"/>
  <c r="E27" i="3"/>
  <c r="E29" i="3"/>
  <c r="E31" i="3"/>
  <c r="E33" i="3"/>
  <c r="E35" i="3"/>
  <c r="E37" i="3"/>
  <c r="E39" i="3"/>
  <c r="E41" i="3"/>
  <c r="E43" i="3"/>
  <c r="E45" i="3"/>
  <c r="E47" i="3"/>
  <c r="E49" i="3"/>
  <c r="E51" i="3"/>
  <c r="E53" i="3"/>
  <c r="E55" i="3"/>
  <c r="E57" i="3"/>
  <c r="E59" i="3"/>
  <c r="E61" i="3"/>
  <c r="E63" i="3"/>
  <c r="E65" i="3"/>
  <c r="E67" i="3"/>
  <c r="E69" i="3"/>
  <c r="E71" i="3"/>
  <c r="E73" i="3"/>
  <c r="E75" i="3"/>
  <c r="E77" i="3"/>
  <c r="E79" i="3"/>
  <c r="E81" i="3"/>
  <c r="E83" i="3"/>
  <c r="E85" i="3"/>
  <c r="E87" i="3"/>
  <c r="E89" i="3"/>
  <c r="E91" i="3"/>
  <c r="E93" i="3"/>
  <c r="E95" i="3"/>
  <c r="E97" i="3"/>
  <c r="E99" i="3"/>
  <c r="E101" i="3"/>
  <c r="E103" i="3"/>
  <c r="E105" i="3"/>
  <c r="E107" i="3"/>
  <c r="E109" i="3"/>
  <c r="E111" i="3"/>
  <c r="E113" i="3"/>
  <c r="E115" i="3"/>
  <c r="E117" i="3"/>
  <c r="E119" i="3"/>
  <c r="E121" i="3"/>
  <c r="E123" i="3"/>
  <c r="E125" i="3"/>
  <c r="E127" i="3"/>
  <c r="E129" i="3"/>
  <c r="E131" i="3"/>
  <c r="E133" i="3"/>
  <c r="E135" i="3"/>
  <c r="K30" i="3"/>
  <c r="M10" i="3" s="1"/>
  <c r="P10" i="6" s="1"/>
  <c r="K101" i="6" s="1"/>
  <c r="E20" i="3"/>
  <c r="F20" i="3" s="1"/>
  <c r="J20" i="6" s="1"/>
  <c r="E24" i="3"/>
  <c r="E28" i="3"/>
  <c r="E32" i="3"/>
  <c r="E36" i="3"/>
  <c r="F36" i="3" s="1"/>
  <c r="J36" i="6" s="1"/>
  <c r="E40" i="3"/>
  <c r="E44" i="3"/>
  <c r="E48" i="3"/>
  <c r="E52" i="3"/>
  <c r="F52" i="3" s="1"/>
  <c r="J52" i="6" s="1"/>
  <c r="E56" i="3"/>
  <c r="E60" i="3"/>
  <c r="E64" i="3"/>
  <c r="E68" i="3"/>
  <c r="F68" i="3" s="1"/>
  <c r="J68" i="6" s="1"/>
  <c r="E72" i="3"/>
  <c r="E76" i="3"/>
  <c r="E80" i="3"/>
  <c r="E84" i="3"/>
  <c r="F84" i="3" s="1"/>
  <c r="J84" i="6" s="1"/>
  <c r="E88" i="3"/>
  <c r="E92" i="3"/>
  <c r="E96" i="3"/>
  <c r="E100" i="3"/>
  <c r="F100" i="3" s="1"/>
  <c r="J100" i="6" s="1"/>
  <c r="E104" i="3"/>
  <c r="E108" i="3"/>
  <c r="E112" i="3"/>
  <c r="E116" i="3"/>
  <c r="F116" i="3" s="1"/>
  <c r="J116" i="6" s="1"/>
  <c r="E120" i="3"/>
  <c r="E124" i="3"/>
  <c r="E128" i="3"/>
  <c r="E132" i="3"/>
  <c r="F132" i="3" s="1"/>
  <c r="J132" i="6" s="1"/>
  <c r="E18" i="3"/>
  <c r="F18" i="3" s="1"/>
  <c r="J18" i="6" s="1"/>
  <c r="E22" i="3"/>
  <c r="F22" i="3" s="1"/>
  <c r="J22" i="6" s="1"/>
  <c r="E26" i="3"/>
  <c r="F26" i="3" s="1"/>
  <c r="J26" i="6" s="1"/>
  <c r="E30" i="3"/>
  <c r="F30" i="3" s="1"/>
  <c r="J30" i="6" s="1"/>
  <c r="E34" i="3"/>
  <c r="E38" i="3"/>
  <c r="E42" i="3"/>
  <c r="F42" i="3" s="1"/>
  <c r="J42" i="6" s="1"/>
  <c r="E46" i="3"/>
  <c r="E50" i="3"/>
  <c r="E54" i="3"/>
  <c r="E58" i="3"/>
  <c r="F58" i="3" s="1"/>
  <c r="J58" i="6" s="1"/>
  <c r="E62" i="3"/>
  <c r="E66" i="3"/>
  <c r="E70" i="3"/>
  <c r="E74" i="3"/>
  <c r="F74" i="3" s="1"/>
  <c r="J74" i="6" s="1"/>
  <c r="E78" i="3"/>
  <c r="E82" i="3"/>
  <c r="E86" i="3"/>
  <c r="E90" i="3"/>
  <c r="F90" i="3" s="1"/>
  <c r="J90" i="6" s="1"/>
  <c r="E94" i="3"/>
  <c r="E98" i="3"/>
  <c r="E102" i="3"/>
  <c r="E106" i="3"/>
  <c r="F106" i="3" s="1"/>
  <c r="J106" i="6" s="1"/>
  <c r="E110" i="3"/>
  <c r="E114" i="3"/>
  <c r="E118" i="3"/>
  <c r="E122" i="3"/>
  <c r="F122" i="3" s="1"/>
  <c r="J122" i="6" s="1"/>
  <c r="E126" i="3"/>
  <c r="E130" i="3"/>
  <c r="E134" i="3"/>
  <c r="H134" i="6"/>
  <c r="H130" i="6"/>
  <c r="H126" i="6"/>
  <c r="H122" i="6"/>
  <c r="H118" i="6"/>
  <c r="H114" i="6"/>
  <c r="H110" i="6"/>
  <c r="H106" i="6"/>
  <c r="H102" i="6"/>
  <c r="H98" i="6"/>
  <c r="H94" i="6"/>
  <c r="H90" i="6"/>
  <c r="H86" i="6"/>
  <c r="H82" i="6"/>
  <c r="H78" i="6"/>
  <c r="H74" i="6"/>
  <c r="H70" i="6"/>
  <c r="H66" i="6"/>
  <c r="H62" i="6"/>
  <c r="H58" i="6"/>
  <c r="H54" i="6"/>
  <c r="H50" i="6"/>
  <c r="H46" i="6"/>
  <c r="H42" i="6"/>
  <c r="H38" i="6"/>
  <c r="H34" i="6"/>
  <c r="H30" i="6"/>
  <c r="H26" i="6"/>
  <c r="H22" i="6"/>
  <c r="O4" i="4"/>
  <c r="O4" i="5"/>
  <c r="M9" i="3"/>
  <c r="D85" i="6"/>
  <c r="C85" i="6"/>
  <c r="D87" i="6"/>
  <c r="C87" i="6"/>
  <c r="D89" i="6"/>
  <c r="C89" i="6"/>
  <c r="AC17" i="6" s="1"/>
  <c r="D91" i="6"/>
  <c r="C91" i="6"/>
  <c r="AO16" i="6"/>
  <c r="AP16" i="6" s="1"/>
  <c r="D93" i="6"/>
  <c r="C93" i="6"/>
  <c r="D95" i="6"/>
  <c r="AO15" i="6"/>
  <c r="AP15" i="6" s="1"/>
  <c r="C95" i="6"/>
  <c r="C97" i="6"/>
  <c r="D97" i="6"/>
  <c r="D24" i="6"/>
  <c r="C24" i="6"/>
  <c r="D26" i="6"/>
  <c r="C26" i="6"/>
  <c r="D28" i="6"/>
  <c r="C28" i="6"/>
  <c r="C30" i="6"/>
  <c r="D30" i="6"/>
  <c r="C32" i="6"/>
  <c r="D32" i="6"/>
  <c r="C34" i="6"/>
  <c r="D34" i="6"/>
  <c r="C36" i="6"/>
  <c r="D36" i="6"/>
  <c r="C38" i="6"/>
  <c r="D38" i="6"/>
  <c r="D40" i="6"/>
  <c r="C40" i="6"/>
  <c r="D42" i="6"/>
  <c r="C42" i="6"/>
  <c r="AO23" i="6"/>
  <c r="C44" i="6"/>
  <c r="D44" i="6"/>
  <c r="C46" i="6"/>
  <c r="D46" i="6"/>
  <c r="D48" i="6"/>
  <c r="C48" i="6"/>
  <c r="D50" i="6"/>
  <c r="C50" i="6"/>
  <c r="D52" i="6"/>
  <c r="C52" i="6"/>
  <c r="D54" i="6"/>
  <c r="C54" i="6"/>
  <c r="C56" i="6"/>
  <c r="D56" i="6"/>
  <c r="C58" i="6"/>
  <c r="D58" i="6"/>
  <c r="C60" i="6"/>
  <c r="D60" i="6"/>
  <c r="C62" i="6"/>
  <c r="D62" i="6"/>
  <c r="C64" i="6"/>
  <c r="AO20" i="6"/>
  <c r="D64" i="6"/>
  <c r="D66" i="6"/>
  <c r="C66" i="6"/>
  <c r="D68" i="6"/>
  <c r="C68" i="6"/>
  <c r="AO19" i="6"/>
  <c r="C70" i="6"/>
  <c r="D70" i="6"/>
  <c r="C72" i="6"/>
  <c r="D72" i="6"/>
  <c r="D74" i="6"/>
  <c r="C74" i="6"/>
  <c r="D76" i="6"/>
  <c r="C76" i="6"/>
  <c r="K23" i="6" l="1"/>
  <c r="K116" i="6"/>
  <c r="K25" i="6"/>
  <c r="F124" i="3"/>
  <c r="J124" i="6" s="1"/>
  <c r="F108" i="3"/>
  <c r="J108" i="6" s="1"/>
  <c r="F92" i="3"/>
  <c r="J92" i="6" s="1"/>
  <c r="F76" i="3"/>
  <c r="J76" i="6" s="1"/>
  <c r="F60" i="3"/>
  <c r="J60" i="6" s="1"/>
  <c r="F44" i="3"/>
  <c r="J44" i="6" s="1"/>
  <c r="F28" i="3"/>
  <c r="J28" i="6" s="1"/>
  <c r="K58" i="6"/>
  <c r="K44" i="6"/>
  <c r="K117" i="6"/>
  <c r="K103" i="6"/>
  <c r="K69" i="6"/>
  <c r="AP21" i="6"/>
  <c r="AP19" i="6"/>
  <c r="AP23" i="6"/>
  <c r="K80" i="6"/>
  <c r="K55" i="6"/>
  <c r="K82" i="6"/>
  <c r="K135" i="6"/>
  <c r="K27" i="6"/>
  <c r="K60" i="6"/>
  <c r="K107" i="6"/>
  <c r="K57" i="6"/>
  <c r="K133" i="6"/>
  <c r="K104" i="6"/>
  <c r="K26" i="6"/>
  <c r="K122" i="6"/>
  <c r="K59" i="6"/>
  <c r="K86" i="6"/>
  <c r="K96" i="6"/>
  <c r="K79" i="6"/>
  <c r="K97" i="6"/>
  <c r="F130" i="3"/>
  <c r="J130" i="6" s="1"/>
  <c r="F114" i="3"/>
  <c r="J114" i="6" s="1"/>
  <c r="F98" i="3"/>
  <c r="J98" i="6" s="1"/>
  <c r="F82" i="3"/>
  <c r="J82" i="6" s="1"/>
  <c r="F66" i="3"/>
  <c r="J66" i="6" s="1"/>
  <c r="F50" i="3"/>
  <c r="J50" i="6" s="1"/>
  <c r="F34" i="3"/>
  <c r="J34" i="6" s="1"/>
  <c r="K120" i="6"/>
  <c r="K42" i="6"/>
  <c r="K61" i="6"/>
  <c r="K76" i="6"/>
  <c r="K28" i="6"/>
  <c r="K126" i="6"/>
  <c r="AP26" i="6"/>
  <c r="AP20" i="6"/>
  <c r="AP25" i="6"/>
  <c r="AP17" i="6"/>
  <c r="S72" i="6"/>
  <c r="W72" i="6" s="1"/>
  <c r="S70" i="6"/>
  <c r="W70" i="6" s="1"/>
  <c r="K93" i="6"/>
  <c r="K92" i="6"/>
  <c r="K129" i="6"/>
  <c r="K121" i="6"/>
  <c r="K113" i="6"/>
  <c r="K105" i="6"/>
  <c r="K91" i="6"/>
  <c r="K83" i="6"/>
  <c r="K75" i="6"/>
  <c r="K65" i="6"/>
  <c r="K49" i="6"/>
  <c r="K33" i="6"/>
  <c r="K134" i="6"/>
  <c r="K95" i="6"/>
  <c r="K131" i="6"/>
  <c r="K115" i="6"/>
  <c r="K99" i="6"/>
  <c r="K77" i="6"/>
  <c r="K53" i="6"/>
  <c r="K21" i="6"/>
  <c r="K118" i="6"/>
  <c r="K102" i="6"/>
  <c r="K78" i="6"/>
  <c r="K64" i="6"/>
  <c r="K56" i="6"/>
  <c r="K48" i="6"/>
  <c r="K40" i="6"/>
  <c r="K32" i="6"/>
  <c r="K24" i="6"/>
  <c r="K67" i="6"/>
  <c r="K51" i="6"/>
  <c r="K35" i="6"/>
  <c r="K19" i="6"/>
  <c r="K124" i="6"/>
  <c r="K108" i="6"/>
  <c r="K84" i="6"/>
  <c r="K68" i="6"/>
  <c r="K98" i="6"/>
  <c r="K127" i="6"/>
  <c r="K111" i="6"/>
  <c r="K89" i="6"/>
  <c r="K73" i="6"/>
  <c r="K45" i="6"/>
  <c r="K130" i="6"/>
  <c r="K114" i="6"/>
  <c r="K90" i="6"/>
  <c r="K74" i="6"/>
  <c r="K62" i="6"/>
  <c r="K54" i="6"/>
  <c r="K46" i="6"/>
  <c r="K38" i="6"/>
  <c r="K30" i="6"/>
  <c r="K22" i="6"/>
  <c r="K63" i="6"/>
  <c r="K47" i="6"/>
  <c r="K31" i="6"/>
  <c r="K136" i="6"/>
  <c r="K72" i="6"/>
  <c r="K88" i="6"/>
  <c r="K112" i="6"/>
  <c r="K128" i="6"/>
  <c r="K39" i="6"/>
  <c r="K18" i="6"/>
  <c r="K34" i="6"/>
  <c r="K50" i="6"/>
  <c r="K66" i="6"/>
  <c r="K106" i="6"/>
  <c r="K29" i="6"/>
  <c r="K81" i="6"/>
  <c r="K119" i="6"/>
  <c r="K100" i="6"/>
  <c r="K132" i="6"/>
  <c r="K43" i="6"/>
  <c r="K20" i="6"/>
  <c r="K36" i="6"/>
  <c r="K52" i="6"/>
  <c r="K70" i="6"/>
  <c r="K110" i="6"/>
  <c r="K37" i="6"/>
  <c r="K85" i="6"/>
  <c r="K123" i="6"/>
  <c r="K41" i="6"/>
  <c r="K71" i="6"/>
  <c r="K87" i="6"/>
  <c r="K109" i="6"/>
  <c r="K125" i="6"/>
  <c r="K94" i="6"/>
  <c r="F134" i="3"/>
  <c r="J134" i="6" s="1"/>
  <c r="F126" i="3"/>
  <c r="J126" i="6" s="1"/>
  <c r="F118" i="3"/>
  <c r="J118" i="6" s="1"/>
  <c r="F110" i="3"/>
  <c r="J110" i="6" s="1"/>
  <c r="F102" i="3"/>
  <c r="J102" i="6" s="1"/>
  <c r="F94" i="3"/>
  <c r="J94" i="6" s="1"/>
  <c r="F86" i="3"/>
  <c r="J86" i="6" s="1"/>
  <c r="F78" i="3"/>
  <c r="J78" i="6" s="1"/>
  <c r="F70" i="3"/>
  <c r="J70" i="6" s="1"/>
  <c r="F62" i="3"/>
  <c r="J62" i="6" s="1"/>
  <c r="F54" i="3"/>
  <c r="J54" i="6" s="1"/>
  <c r="F46" i="3"/>
  <c r="J46" i="6" s="1"/>
  <c r="F38" i="3"/>
  <c r="J38" i="6" s="1"/>
  <c r="F131" i="3"/>
  <c r="J131" i="6" s="1"/>
  <c r="F123" i="3"/>
  <c r="J123" i="6" s="1"/>
  <c r="F115" i="3"/>
  <c r="J115" i="6" s="1"/>
  <c r="F107" i="3"/>
  <c r="J107" i="6" s="1"/>
  <c r="F99" i="3"/>
  <c r="J99" i="6" s="1"/>
  <c r="F91" i="3"/>
  <c r="J91" i="6" s="1"/>
  <c r="F83" i="3"/>
  <c r="J83" i="6" s="1"/>
  <c r="F75" i="3"/>
  <c r="J75" i="6" s="1"/>
  <c r="F67" i="3"/>
  <c r="J67" i="6" s="1"/>
  <c r="F59" i="3"/>
  <c r="J59" i="6" s="1"/>
  <c r="F51" i="3"/>
  <c r="J51" i="6" s="1"/>
  <c r="F43" i="3"/>
  <c r="J43" i="6" s="1"/>
  <c r="F35" i="3"/>
  <c r="J35" i="6" s="1"/>
  <c r="F27" i="3"/>
  <c r="J27" i="6" s="1"/>
  <c r="F19" i="3"/>
  <c r="J19" i="6" s="1"/>
  <c r="S68" i="6"/>
  <c r="W68" i="6" s="1"/>
  <c r="S62" i="6"/>
  <c r="W62" i="6" s="1"/>
  <c r="S58" i="6"/>
  <c r="W58" i="6" s="1"/>
  <c r="S44" i="6"/>
  <c r="W44" i="6" s="1"/>
  <c r="S42" i="6"/>
  <c r="W42" i="6" s="1"/>
  <c r="S26" i="6"/>
  <c r="W26" i="6" s="1"/>
  <c r="S87" i="6"/>
  <c r="W87" i="6" s="1"/>
  <c r="F135" i="3"/>
  <c r="J135" i="6" s="1"/>
  <c r="F127" i="3"/>
  <c r="J127" i="6" s="1"/>
  <c r="F119" i="3"/>
  <c r="J119" i="6" s="1"/>
  <c r="F111" i="3"/>
  <c r="J111" i="6" s="1"/>
  <c r="F103" i="3"/>
  <c r="J103" i="6" s="1"/>
  <c r="F95" i="3"/>
  <c r="J95" i="6" s="1"/>
  <c r="F87" i="3"/>
  <c r="J87" i="6" s="1"/>
  <c r="F79" i="3"/>
  <c r="J79" i="6" s="1"/>
  <c r="F71" i="3"/>
  <c r="J71" i="6" s="1"/>
  <c r="F63" i="3"/>
  <c r="J63" i="6" s="1"/>
  <c r="F55" i="3"/>
  <c r="J55" i="6" s="1"/>
  <c r="F47" i="3"/>
  <c r="J47" i="6" s="1"/>
  <c r="F39" i="3"/>
  <c r="J39" i="6" s="1"/>
  <c r="F31" i="3"/>
  <c r="J31" i="6" s="1"/>
  <c r="F23" i="3"/>
  <c r="J23" i="6" s="1"/>
  <c r="F136" i="3"/>
  <c r="J136" i="6" s="1"/>
  <c r="S132" i="6"/>
  <c r="W132" i="6" s="1"/>
  <c r="S130" i="6"/>
  <c r="W130" i="6" s="1"/>
  <c r="S128" i="6"/>
  <c r="W128" i="6" s="1"/>
  <c r="S126" i="6"/>
  <c r="W126" i="6" s="1"/>
  <c r="S116" i="6"/>
  <c r="W116" i="6" s="1"/>
  <c r="S114" i="6"/>
  <c r="W114" i="6" s="1"/>
  <c r="S112" i="6"/>
  <c r="W112" i="6" s="1"/>
  <c r="S110" i="6"/>
  <c r="W110" i="6" s="1"/>
  <c r="S108" i="6"/>
  <c r="W108" i="6" s="1"/>
  <c r="S63" i="6"/>
  <c r="W63" i="6" s="1"/>
  <c r="S61" i="6"/>
  <c r="W61" i="6" s="1"/>
  <c r="S59" i="6"/>
  <c r="W59" i="6" s="1"/>
  <c r="S57" i="6"/>
  <c r="W57" i="6" s="1"/>
  <c r="S55" i="6"/>
  <c r="W55" i="6" s="1"/>
  <c r="S53" i="6"/>
  <c r="W53" i="6" s="1"/>
  <c r="S51" i="6"/>
  <c r="W51" i="6" s="1"/>
  <c r="S49" i="6"/>
  <c r="W49" i="6" s="1"/>
  <c r="AP22" i="6"/>
  <c r="S45" i="6"/>
  <c r="W45" i="6" s="1"/>
  <c r="S43" i="6"/>
  <c r="W43" i="6" s="1"/>
  <c r="S39" i="6"/>
  <c r="W39" i="6" s="1"/>
  <c r="S27" i="6"/>
  <c r="W27" i="6" s="1"/>
  <c r="S25" i="6"/>
  <c r="W25" i="6" s="1"/>
  <c r="S21" i="6"/>
  <c r="W21" i="6" s="1"/>
  <c r="S19" i="6"/>
  <c r="W19" i="6" s="1"/>
  <c r="S98" i="6"/>
  <c r="W98" i="6" s="1"/>
  <c r="S96" i="6"/>
  <c r="W96" i="6" s="1"/>
  <c r="S136" i="6"/>
  <c r="W136" i="6" s="1"/>
  <c r="AP7" i="6"/>
  <c r="AP8" i="6"/>
  <c r="AP10" i="6"/>
  <c r="S121" i="6"/>
  <c r="W121" i="6" s="1"/>
  <c r="S119" i="6"/>
  <c r="W119" i="6" s="1"/>
  <c r="S117" i="6"/>
  <c r="W117" i="6" s="1"/>
  <c r="S115" i="6"/>
  <c r="W115" i="6" s="1"/>
  <c r="S113" i="6"/>
  <c r="W113" i="6" s="1"/>
  <c r="S111" i="6"/>
  <c r="W111" i="6" s="1"/>
  <c r="S109" i="6"/>
  <c r="W109" i="6" s="1"/>
  <c r="S107" i="6"/>
  <c r="W107" i="6" s="1"/>
  <c r="S105" i="6"/>
  <c r="W105" i="6" s="1"/>
  <c r="S103" i="6"/>
  <c r="W103" i="6" s="1"/>
  <c r="S101" i="6"/>
  <c r="W101" i="6" s="1"/>
  <c r="S99" i="6"/>
  <c r="W99" i="6" s="1"/>
  <c r="S81" i="6"/>
  <c r="W81" i="6" s="1"/>
  <c r="S23" i="6"/>
  <c r="W23" i="6" s="1"/>
  <c r="S77" i="6"/>
  <c r="W77" i="6" s="1"/>
  <c r="S75" i="6"/>
  <c r="W75" i="6" s="1"/>
  <c r="AP18" i="6"/>
  <c r="S71" i="6"/>
  <c r="W71" i="6" s="1"/>
  <c r="S69" i="6"/>
  <c r="W69" i="6" s="1"/>
  <c r="S80" i="6"/>
  <c r="W80" i="6" s="1"/>
  <c r="S78" i="6"/>
  <c r="W78" i="6" s="1"/>
  <c r="S22" i="6"/>
  <c r="W22" i="6" s="1"/>
  <c r="S20" i="6"/>
  <c r="W20" i="6" s="1"/>
  <c r="S18" i="6"/>
  <c r="W18" i="6" s="1"/>
  <c r="X18" i="6" s="1"/>
  <c r="S66" i="6"/>
  <c r="W66" i="6" s="1"/>
  <c r="S60" i="6"/>
  <c r="W60" i="6" s="1"/>
  <c r="S56" i="6"/>
  <c r="W56" i="6" s="1"/>
  <c r="S46" i="6"/>
  <c r="W46" i="6" s="1"/>
  <c r="S40" i="6"/>
  <c r="W40" i="6" s="1"/>
  <c r="S28" i="6"/>
  <c r="W28" i="6" s="1"/>
  <c r="S24" i="6"/>
  <c r="W24" i="6" s="1"/>
  <c r="S91" i="6"/>
  <c r="W91" i="6" s="1"/>
  <c r="S89" i="6"/>
  <c r="W89" i="6" s="1"/>
  <c r="S85" i="6"/>
  <c r="W85" i="6" s="1"/>
  <c r="S76" i="6"/>
  <c r="W76" i="6" s="1"/>
  <c r="S74" i="6"/>
  <c r="W74" i="6" s="1"/>
  <c r="S64" i="6"/>
  <c r="W64" i="6" s="1"/>
  <c r="S54" i="6"/>
  <c r="W54" i="6" s="1"/>
  <c r="S52" i="6"/>
  <c r="W52" i="6" s="1"/>
  <c r="S50" i="6"/>
  <c r="W50" i="6" s="1"/>
  <c r="S48" i="6"/>
  <c r="W48" i="6" s="1"/>
  <c r="S38" i="6"/>
  <c r="W38" i="6" s="1"/>
  <c r="S36" i="6"/>
  <c r="W36" i="6" s="1"/>
  <c r="S34" i="6"/>
  <c r="W34" i="6" s="1"/>
  <c r="S32" i="6"/>
  <c r="W32" i="6" s="1"/>
  <c r="S30" i="6"/>
  <c r="W30" i="6" s="1"/>
  <c r="S97" i="6"/>
  <c r="W97" i="6" s="1"/>
  <c r="S95" i="6"/>
  <c r="W95" i="6" s="1"/>
  <c r="S93" i="6"/>
  <c r="W93" i="6" s="1"/>
  <c r="F128" i="3"/>
  <c r="J128" i="6" s="1"/>
  <c r="F120" i="3"/>
  <c r="J120" i="6" s="1"/>
  <c r="F112" i="3"/>
  <c r="J112" i="6" s="1"/>
  <c r="F104" i="3"/>
  <c r="J104" i="6" s="1"/>
  <c r="F96" i="3"/>
  <c r="J96" i="6" s="1"/>
  <c r="F88" i="3"/>
  <c r="J88" i="6" s="1"/>
  <c r="F80" i="3"/>
  <c r="J80" i="6" s="1"/>
  <c r="F72" i="3"/>
  <c r="J72" i="6" s="1"/>
  <c r="F64" i="3"/>
  <c r="J64" i="6" s="1"/>
  <c r="F56" i="3"/>
  <c r="J56" i="6" s="1"/>
  <c r="F48" i="3"/>
  <c r="J48" i="6" s="1"/>
  <c r="F40" i="3"/>
  <c r="J40" i="6" s="1"/>
  <c r="F32" i="3"/>
  <c r="J32" i="6" s="1"/>
  <c r="F24" i="3"/>
  <c r="J24" i="6" s="1"/>
  <c r="O5" i="4"/>
  <c r="O5" i="5"/>
  <c r="F133" i="3"/>
  <c r="J133" i="6" s="1"/>
  <c r="F129" i="3"/>
  <c r="J129" i="6" s="1"/>
  <c r="F125" i="3"/>
  <c r="J125" i="6" s="1"/>
  <c r="F121" i="3"/>
  <c r="J121" i="6" s="1"/>
  <c r="F117" i="3"/>
  <c r="J117" i="6" s="1"/>
  <c r="F113" i="3"/>
  <c r="J113" i="6" s="1"/>
  <c r="F109" i="3"/>
  <c r="J109" i="6" s="1"/>
  <c r="F105" i="3"/>
  <c r="J105" i="6" s="1"/>
  <c r="F101" i="3"/>
  <c r="J101" i="6" s="1"/>
  <c r="F97" i="3"/>
  <c r="J97" i="6" s="1"/>
  <c r="F93" i="3"/>
  <c r="J93" i="6" s="1"/>
  <c r="F89" i="3"/>
  <c r="J89" i="6" s="1"/>
  <c r="F85" i="3"/>
  <c r="J85" i="6" s="1"/>
  <c r="F81" i="3"/>
  <c r="J81" i="6" s="1"/>
  <c r="F77" i="3"/>
  <c r="J77" i="6" s="1"/>
  <c r="F73" i="3"/>
  <c r="J73" i="6" s="1"/>
  <c r="F69" i="3"/>
  <c r="J69" i="6" s="1"/>
  <c r="F65" i="3"/>
  <c r="J65" i="6" s="1"/>
  <c r="F61" i="3"/>
  <c r="J61" i="6" s="1"/>
  <c r="F57" i="3"/>
  <c r="J57" i="6" s="1"/>
  <c r="F53" i="3"/>
  <c r="J53" i="6" s="1"/>
  <c r="F49" i="3"/>
  <c r="J49" i="6" s="1"/>
  <c r="F45" i="3"/>
  <c r="J45" i="6" s="1"/>
  <c r="F41" i="3"/>
  <c r="J41" i="6" s="1"/>
  <c r="F37" i="3"/>
  <c r="J37" i="6" s="1"/>
  <c r="F33" i="3"/>
  <c r="J33" i="6" s="1"/>
  <c r="F29" i="3"/>
  <c r="J29" i="6" s="1"/>
  <c r="F25" i="3"/>
  <c r="J25" i="6" s="1"/>
  <c r="F21" i="3"/>
  <c r="J21" i="6" s="1"/>
  <c r="O6" i="5"/>
  <c r="O6" i="4"/>
  <c r="S134" i="6"/>
  <c r="W134" i="6" s="1"/>
  <c r="S124" i="6"/>
  <c r="W124" i="6" s="1"/>
  <c r="S122" i="6"/>
  <c r="W122" i="6" s="1"/>
  <c r="S120" i="6"/>
  <c r="W120" i="6" s="1"/>
  <c r="S118" i="6"/>
  <c r="W118" i="6" s="1"/>
  <c r="S106" i="6"/>
  <c r="W106" i="6" s="1"/>
  <c r="S104" i="6"/>
  <c r="W104" i="6" s="1"/>
  <c r="S102" i="6"/>
  <c r="W102" i="6" s="1"/>
  <c r="S100" i="6"/>
  <c r="W100" i="6" s="1"/>
  <c r="S47" i="6"/>
  <c r="W47" i="6" s="1"/>
  <c r="S41" i="6"/>
  <c r="W41" i="6" s="1"/>
  <c r="S37" i="6"/>
  <c r="W37" i="6" s="1"/>
  <c r="S35" i="6"/>
  <c r="W35" i="6" s="1"/>
  <c r="S33" i="6"/>
  <c r="W33" i="6" s="1"/>
  <c r="S31" i="6"/>
  <c r="W31" i="6" s="1"/>
  <c r="S29" i="6"/>
  <c r="W29" i="6" s="1"/>
  <c r="S94" i="6"/>
  <c r="W94" i="6" s="1"/>
  <c r="S92" i="6"/>
  <c r="W92" i="6" s="1"/>
  <c r="S90" i="6"/>
  <c r="W90" i="6" s="1"/>
  <c r="S88" i="6"/>
  <c r="W88" i="6" s="1"/>
  <c r="S86" i="6"/>
  <c r="W86" i="6" s="1"/>
  <c r="S84" i="6"/>
  <c r="W84" i="6" s="1"/>
  <c r="S135" i="6"/>
  <c r="W135" i="6" s="1"/>
  <c r="S133" i="6"/>
  <c r="W133" i="6" s="1"/>
  <c r="S131" i="6"/>
  <c r="W131" i="6" s="1"/>
  <c r="S129" i="6"/>
  <c r="W129" i="6" s="1"/>
  <c r="S127" i="6"/>
  <c r="W127" i="6" s="1"/>
  <c r="S125" i="6"/>
  <c r="W125" i="6" s="1"/>
  <c r="S123" i="6"/>
  <c r="W123" i="6" s="1"/>
  <c r="AP14" i="6"/>
  <c r="S83" i="6"/>
  <c r="W83" i="6" s="1"/>
  <c r="S79" i="6"/>
  <c r="W79" i="6" s="1"/>
  <c r="S73" i="6"/>
  <c r="W73" i="6" s="1"/>
  <c r="S67" i="6"/>
  <c r="W67" i="6" s="1"/>
  <c r="S65" i="6"/>
  <c r="W65" i="6" s="1"/>
  <c r="S82" i="6"/>
  <c r="W82" i="6" s="1"/>
  <c r="X19" i="6" l="1"/>
  <c r="X20" i="6" s="1"/>
  <c r="X21" i="6" s="1"/>
  <c r="X22" i="6" s="1"/>
  <c r="X23" i="6" s="1"/>
  <c r="X24" i="6" l="1"/>
  <c r="X25" i="6" l="1"/>
  <c r="X26" i="6" l="1"/>
  <c r="X27" i="6" l="1"/>
  <c r="X28" i="6" l="1"/>
  <c r="X29" i="6" l="1"/>
  <c r="X30" i="6" l="1"/>
  <c r="X31" i="6" l="1"/>
  <c r="X32" i="6" l="1"/>
  <c r="X33" i="6" l="1"/>
  <c r="X34" i="6" l="1"/>
  <c r="X35" i="6" l="1"/>
  <c r="X36" i="6" l="1"/>
  <c r="X37" i="6" l="1"/>
  <c r="X38" i="6" l="1"/>
  <c r="X39" i="6" l="1"/>
  <c r="X40" i="6" l="1"/>
  <c r="X41" i="6" l="1"/>
  <c r="X42" i="6" l="1"/>
  <c r="X43" i="6" l="1"/>
  <c r="X44" i="6" l="1"/>
  <c r="X45" i="6" l="1"/>
  <c r="X46" i="6" l="1"/>
  <c r="X47" i="6" l="1"/>
  <c r="X48" i="6" l="1"/>
  <c r="X49" i="6" l="1"/>
  <c r="X50" i="6" l="1"/>
  <c r="X51" i="6" l="1"/>
  <c r="X52" i="6" l="1"/>
  <c r="X53" i="6" l="1"/>
  <c r="X54" i="6" l="1"/>
  <c r="X55" i="6" l="1"/>
  <c r="X56" i="6" l="1"/>
  <c r="X57" i="6" l="1"/>
  <c r="X58" i="6" l="1"/>
  <c r="X59" i="6" l="1"/>
  <c r="X60" i="6" l="1"/>
  <c r="X61" i="6" l="1"/>
  <c r="X62" i="6" l="1"/>
  <c r="X63" i="6" l="1"/>
  <c r="X64" i="6" l="1"/>
  <c r="X65" i="6" l="1"/>
  <c r="X66" i="6" l="1"/>
  <c r="X67" i="6" l="1"/>
  <c r="X68" i="6" l="1"/>
  <c r="X69" i="6" l="1"/>
  <c r="X70" i="6" l="1"/>
  <c r="X71" i="6" l="1"/>
  <c r="X72" i="6" l="1"/>
  <c r="X73" i="6" l="1"/>
  <c r="X74" i="6" l="1"/>
  <c r="X75" i="6" l="1"/>
  <c r="X76" i="6" l="1"/>
  <c r="X77" i="6" l="1"/>
  <c r="X78" i="6" l="1"/>
  <c r="X79" i="6" l="1"/>
  <c r="X80" i="6" l="1"/>
  <c r="X81" i="6" l="1"/>
  <c r="X82" i="6" l="1"/>
  <c r="X83" i="6" l="1"/>
  <c r="X84" i="6" l="1"/>
  <c r="X85" i="6" l="1"/>
  <c r="X86" i="6" l="1"/>
  <c r="X87" i="6" l="1"/>
  <c r="X88" i="6" l="1"/>
  <c r="X89" i="6" l="1"/>
  <c r="X90" i="6" l="1"/>
  <c r="X91" i="6" l="1"/>
  <c r="X92" i="6" l="1"/>
  <c r="X93" i="6" l="1"/>
  <c r="X94" i="6" l="1"/>
  <c r="X95" i="6" l="1"/>
  <c r="X96" i="6" l="1"/>
  <c r="X97" i="6" l="1"/>
  <c r="X98" i="6" l="1"/>
  <c r="X99" i="6" l="1"/>
  <c r="X100" i="6" l="1"/>
  <c r="X101" i="6" l="1"/>
  <c r="X102" i="6" l="1"/>
  <c r="X103" i="6" l="1"/>
  <c r="X104" i="6" l="1"/>
  <c r="X105" i="6" l="1"/>
  <c r="X106" i="6" l="1"/>
  <c r="X107" i="6" l="1"/>
  <c r="X108" i="6" l="1"/>
  <c r="X109" i="6" l="1"/>
  <c r="X110" i="6" l="1"/>
  <c r="X111" i="6" l="1"/>
  <c r="X112" i="6" l="1"/>
  <c r="X113" i="6" l="1"/>
  <c r="X114" i="6" l="1"/>
  <c r="X115" i="6" l="1"/>
  <c r="X116" i="6" l="1"/>
  <c r="X117" i="6" l="1"/>
  <c r="X118" i="6" l="1"/>
  <c r="X119" i="6" l="1"/>
  <c r="X120" i="6" l="1"/>
  <c r="X121" i="6" l="1"/>
  <c r="X122" i="6" l="1"/>
  <c r="X123" i="6" l="1"/>
  <c r="X124" i="6" l="1"/>
  <c r="X125" i="6" l="1"/>
  <c r="X126" i="6" l="1"/>
  <c r="X127" i="6" l="1"/>
  <c r="X128" i="6" l="1"/>
  <c r="X129" i="6" l="1"/>
  <c r="X130" i="6" l="1"/>
  <c r="X131" i="6" l="1"/>
  <c r="X132" i="6" l="1"/>
  <c r="X133" i="6" l="1"/>
  <c r="X134" i="6" l="1"/>
  <c r="X135" i="6" l="1"/>
  <c r="X136" i="6" l="1"/>
  <c r="T136" i="6" l="1"/>
  <c r="T19" i="6"/>
  <c r="T18" i="6"/>
  <c r="T21" i="6"/>
  <c r="T20" i="6"/>
  <c r="T22" i="6"/>
  <c r="T23" i="6"/>
  <c r="T24" i="6"/>
  <c r="T25" i="6"/>
  <c r="T26" i="6"/>
  <c r="T27" i="6"/>
  <c r="T28" i="6"/>
  <c r="T29" i="6"/>
  <c r="T30" i="6"/>
  <c r="T31" i="6"/>
  <c r="T32" i="6"/>
  <c r="T33" i="6"/>
  <c r="T34" i="6"/>
  <c r="T35" i="6"/>
  <c r="T36" i="6"/>
  <c r="T37" i="6"/>
  <c r="T38" i="6"/>
  <c r="T39" i="6"/>
  <c r="T40" i="6"/>
  <c r="T41" i="6"/>
  <c r="T42" i="6"/>
  <c r="T43" i="6"/>
  <c r="T44" i="6"/>
  <c r="T45" i="6"/>
  <c r="T46" i="6"/>
  <c r="T47" i="6"/>
  <c r="T48" i="6"/>
  <c r="T49" i="6"/>
  <c r="T50" i="6"/>
  <c r="T51" i="6"/>
  <c r="T52" i="6"/>
  <c r="T53" i="6"/>
  <c r="T54" i="6"/>
  <c r="T55" i="6"/>
  <c r="T56" i="6"/>
  <c r="T57" i="6"/>
  <c r="T58" i="6"/>
  <c r="T59" i="6"/>
  <c r="T60" i="6"/>
  <c r="T61" i="6"/>
  <c r="T62" i="6"/>
  <c r="T63" i="6"/>
  <c r="T64" i="6"/>
  <c r="T65" i="6"/>
  <c r="T66" i="6"/>
  <c r="T67" i="6"/>
  <c r="T68" i="6"/>
  <c r="T69" i="6"/>
  <c r="T70" i="6"/>
  <c r="T71" i="6"/>
  <c r="T72" i="6"/>
  <c r="T73" i="6"/>
  <c r="T74" i="6"/>
  <c r="T75" i="6"/>
  <c r="T76" i="6"/>
  <c r="T77" i="6"/>
  <c r="T78" i="6"/>
  <c r="T79" i="6"/>
  <c r="T80" i="6"/>
  <c r="T81" i="6"/>
  <c r="T82" i="6"/>
  <c r="T83" i="6"/>
  <c r="T84" i="6"/>
  <c r="T85" i="6"/>
  <c r="T86" i="6"/>
  <c r="T87" i="6"/>
  <c r="T88" i="6"/>
  <c r="T89" i="6"/>
  <c r="T90" i="6"/>
  <c r="T91" i="6"/>
  <c r="T92" i="6"/>
  <c r="T93" i="6"/>
  <c r="T94" i="6"/>
  <c r="T95" i="6"/>
  <c r="T96" i="6"/>
  <c r="T97" i="6"/>
  <c r="T98" i="6"/>
  <c r="T99" i="6"/>
  <c r="T100" i="6"/>
  <c r="T101" i="6"/>
  <c r="T102" i="6"/>
  <c r="T103" i="6"/>
  <c r="T104" i="6"/>
  <c r="T105" i="6"/>
  <c r="T106" i="6"/>
  <c r="T107" i="6"/>
  <c r="T108" i="6"/>
  <c r="T109" i="6"/>
  <c r="T110" i="6"/>
  <c r="T111" i="6"/>
  <c r="T112" i="6"/>
  <c r="T113" i="6"/>
  <c r="T114" i="6"/>
  <c r="T115" i="6"/>
  <c r="T116" i="6"/>
  <c r="T117" i="6"/>
  <c r="T118" i="6"/>
  <c r="T119" i="6"/>
  <c r="T120" i="6"/>
  <c r="T121" i="6"/>
  <c r="T122" i="6"/>
  <c r="T123" i="6"/>
  <c r="T124" i="6"/>
  <c r="T125" i="6"/>
  <c r="T126" i="6"/>
  <c r="T127" i="6"/>
  <c r="T128" i="6"/>
  <c r="T129" i="6"/>
  <c r="T130" i="6"/>
  <c r="T131" i="6"/>
  <c r="T132" i="6"/>
  <c r="T133" i="6"/>
  <c r="T134" i="6"/>
  <c r="T135" i="6"/>
  <c r="K3" i="4" l="1"/>
  <c r="I8" i="3"/>
  <c r="K3" i="5"/>
</calcChain>
</file>

<file path=xl/sharedStrings.xml><?xml version="1.0" encoding="utf-8"?>
<sst xmlns="http://schemas.openxmlformats.org/spreadsheetml/2006/main" count="170" uniqueCount="97">
  <si>
    <t>air/oil</t>
  </si>
  <si>
    <t>Above Free Water, ft</t>
  </si>
  <si>
    <t>Bulk</t>
  </si>
  <si>
    <t>Volume,</t>
  </si>
  <si>
    <t>Gas-Oil,</t>
  </si>
  <si>
    <t>Saturation,</t>
  </si>
  <si>
    <t>Inc. (mD)</t>
  </si>
  <si>
    <t>Cumulative</t>
  </si>
  <si>
    <t>Hg Sat</t>
  </si>
  <si>
    <t>Weight,</t>
  </si>
  <si>
    <t>Laboratory TcosTheta</t>
  </si>
  <si>
    <t>MERCURY INJECTION CAPILLARY PRESSURE</t>
  </si>
  <si>
    <t>Gas:</t>
  </si>
  <si>
    <t>cumulative</t>
  </si>
  <si>
    <t>Oil:</t>
  </si>
  <si>
    <t>Sample</t>
  </si>
  <si>
    <t>incremental</t>
  </si>
  <si>
    <t>Estimated Height</t>
  </si>
  <si>
    <t>grams</t>
  </si>
  <si>
    <t>Helium</t>
  </si>
  <si>
    <t>Funct.</t>
  </si>
  <si>
    <t>%BV</t>
  </si>
  <si>
    <t>Mercury IFT</t>
  </si>
  <si>
    <t>Grain Density, grams/cc:</t>
  </si>
  <si>
    <t>Reservoir Contact Angle</t>
  </si>
  <si>
    <t>fraction</t>
  </si>
  <si>
    <t>grams/cc</t>
  </si>
  <si>
    <t>Sb/Pc</t>
  </si>
  <si>
    <t>oil/water</t>
  </si>
  <si>
    <t>Laboratory IFT</t>
  </si>
  <si>
    <t>PSD HISTOGRAM</t>
  </si>
  <si>
    <t>10</t>
  </si>
  <si>
    <t>Laboratory Contact Angle</t>
  </si>
  <si>
    <t>intrusion</t>
  </si>
  <si>
    <t>Saturation</t>
  </si>
  <si>
    <t>O-W</t>
  </si>
  <si>
    <t>cc</t>
  </si>
  <si>
    <t>Conformance Correction,</t>
  </si>
  <si>
    <t>Norm. Pore</t>
  </si>
  <si>
    <t xml:space="preserve"> </t>
  </si>
  <si>
    <t>Density,</t>
  </si>
  <si>
    <t>Sample Number:</t>
  </si>
  <si>
    <t>Oil-Water,</t>
  </si>
  <si>
    <t>Contribution</t>
  </si>
  <si>
    <t>Size Dist.</t>
  </si>
  <si>
    <t>Pore Throat</t>
  </si>
  <si>
    <t xml:space="preserve"> 1.0-Mercury </t>
  </si>
  <si>
    <t>Radius, µm</t>
  </si>
  <si>
    <t>Fluid Density Gradients</t>
  </si>
  <si>
    <t>psia</t>
  </si>
  <si>
    <t xml:space="preserve">Mercury </t>
  </si>
  <si>
    <t>Conversion Parameters</t>
  </si>
  <si>
    <t>air/water</t>
  </si>
  <si>
    <t>Porosity, fraction:</t>
  </si>
  <si>
    <t>Diameter,</t>
  </si>
  <si>
    <t>microns</t>
  </si>
  <si>
    <t>frequency</t>
  </si>
  <si>
    <t>Corrected</t>
  </si>
  <si>
    <t>Uncorrected</t>
  </si>
  <si>
    <t>Normalized</t>
  </si>
  <si>
    <t>%PV</t>
  </si>
  <si>
    <t>Reservoir TcosTheta</t>
  </si>
  <si>
    <t>Porosity,</t>
  </si>
  <si>
    <t>Mercury</t>
  </si>
  <si>
    <t>micron</t>
  </si>
  <si>
    <t>Injection Pressure,</t>
  </si>
  <si>
    <t>G-W</t>
  </si>
  <si>
    <t>air/Hg</t>
  </si>
  <si>
    <t>d Log</t>
  </si>
  <si>
    <t>Function</t>
  </si>
  <si>
    <t>Mercury Saturation</t>
  </si>
  <si>
    <t>ml</t>
  </si>
  <si>
    <t>Water:</t>
  </si>
  <si>
    <t>IFT * Cosine Contact Angle:</t>
  </si>
  <si>
    <t>Gas-Water,</t>
  </si>
  <si>
    <t>Permeability to Air (calc), mD:</t>
  </si>
  <si>
    <t>Pore Radius,</t>
  </si>
  <si>
    <t>Mercury Injection</t>
  </si>
  <si>
    <t>Pressure,</t>
  </si>
  <si>
    <t>Radius,</t>
  </si>
  <si>
    <t>d Sw/d Log</t>
  </si>
  <si>
    <t>Reservoir IFT</t>
  </si>
  <si>
    <t>&lt; 0.0018</t>
  </si>
  <si>
    <t>Mercury Contact Angle</t>
  </si>
  <si>
    <t>Grain</t>
  </si>
  <si>
    <t>Injection</t>
  </si>
  <si>
    <t>Other Laboratory Systems</t>
  </si>
  <si>
    <t>Permeability</t>
  </si>
  <si>
    <t>J</t>
  </si>
  <si>
    <t>Pore</t>
  </si>
  <si>
    <t>Cum. (mD)</t>
  </si>
  <si>
    <t>Incremental</t>
  </si>
  <si>
    <t>Sample Depth, m:</t>
  </si>
  <si>
    <t>NordAq Energy Inc.</t>
  </si>
  <si>
    <t>East Simpson No. 2 (USGS/Husky 1980)</t>
  </si>
  <si>
    <t>Torok Sandstones Formation</t>
  </si>
  <si>
    <t>HH-61176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</si>
</sst>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6" formatCode="0.0_)"/>
    <numFmt numFmtId="168" formatCode="0.0"/>
    <numFmt numFmtId="169" formatCode="0.000"/>
    <numFmt numFmtId="170" formatCode="0.0000"/>
    <numFmt numFmtId="171" formatCode="???0.00"/>
    <numFmt numFmtId="172" formatCode="[&lt;1]0.?0;[&gt;10]0;0.0"/>
    <numFmt numFmtId="173" formatCode="[&lt;1]0.000;[&gt;10]0.0;0.00"/>
    <numFmt numFmtId="174" formatCode="[&lt;0.1]0.000;[&gt;0.1]0.00;0.0"/>
    <numFmt numFmtId="175" formatCode="[Blue]General"/>
    <numFmt numFmtId="176" formatCode="?????.0"/>
    <numFmt numFmtId="177" formatCode="[&lt;10]???0.00;[&gt;100]???0;???0.0"/>
    <numFmt numFmtId="178" formatCode="?????"/>
    <numFmt numFmtId="179" formatCode="?????.00"/>
    <numFmt numFmtId="180" formatCode="[&lt;100]????0.0;[&gt;100]?????;General"/>
    <numFmt numFmtId="181" formatCode="????0.00"/>
    <numFmt numFmtId="183" formatCode="??0."/>
    <numFmt numFmtId="184" formatCode="??????0.0000"/>
    <numFmt numFmtId="186" formatCode="????0.0?"/>
    <numFmt numFmtId="187" formatCode="????0.??"/>
    <numFmt numFmtId="188" formatCode="0.00??"/>
    <numFmt numFmtId="189" formatCode="0.00000"/>
    <numFmt numFmtId="191" formatCode="m\-dd\-yy"/>
    <numFmt numFmtId="192" formatCode="??0.000"/>
    <numFmt numFmtId="194" formatCode="???0.000"/>
    <numFmt numFmtId="196" formatCode="????0.000"/>
    <numFmt numFmtId="197" formatCode="??0.0000"/>
    <numFmt numFmtId="198" formatCode="0.0\ \ \ \ 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indexed="1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i/>
      <sz val="10"/>
      <name val="Arial"/>
      <family val="2"/>
    </font>
    <font>
      <sz val="9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8" fillId="0" borderId="0"/>
    <xf numFmtId="0" fontId="8" fillId="0" borderId="0"/>
  </cellStyleXfs>
  <cellXfs count="171">
    <xf numFmtId="0" fontId="0" fillId="0" borderId="0" xfId="0"/>
    <xf numFmtId="0" fontId="0" fillId="0" borderId="1" xfId="3" applyFont="1" applyBorder="1"/>
    <xf numFmtId="169" fontId="0" fillId="0" borderId="0" xfId="3" applyNumberFormat="1" applyFont="1" applyAlignment="1" applyProtection="1">
      <alignment horizontal="right"/>
    </xf>
    <xf numFmtId="168" fontId="0" fillId="0" borderId="0" xfId="0" applyNumberFormat="1" applyBorder="1" applyAlignment="1">
      <alignment horizontal="center"/>
    </xf>
    <xf numFmtId="169" fontId="2" fillId="0" borderId="0" xfId="3" applyNumberFormat="1" applyFont="1" applyBorder="1" applyProtection="1">
      <protection locked="0"/>
    </xf>
    <xf numFmtId="169" fontId="0" fillId="0" borderId="0" xfId="3" applyNumberFormat="1" applyFont="1"/>
    <xf numFmtId="1" fontId="0" fillId="0" borderId="0" xfId="3" applyNumberFormat="1" applyFont="1" applyBorder="1" applyProtection="1"/>
    <xf numFmtId="0" fontId="0" fillId="0" borderId="3" xfId="3" applyFont="1" applyFill="1" applyBorder="1" applyAlignment="1" applyProtection="1">
      <alignment horizontal="center" vertical="center"/>
    </xf>
    <xf numFmtId="0" fontId="0" fillId="0" borderId="0" xfId="3" applyFont="1" applyProtection="1"/>
    <xf numFmtId="189" fontId="0" fillId="0" borderId="0" xfId="0" applyNumberFormat="1" applyFont="1" applyAlignment="1">
      <alignment horizontal="right"/>
    </xf>
    <xf numFmtId="0" fontId="0" fillId="0" borderId="0" xfId="3" applyFont="1" applyBorder="1" applyAlignment="1" applyProtection="1">
      <alignment horizontal="centerContinuous" vertical="center"/>
    </xf>
    <xf numFmtId="0" fontId="0" fillId="0" borderId="0" xfId="0" applyFont="1" applyBorder="1"/>
    <xf numFmtId="184" fontId="0" fillId="0" borderId="0" xfId="0" applyNumberFormat="1" applyBorder="1" applyAlignment="1">
      <alignment horizontal="center"/>
    </xf>
    <xf numFmtId="196" fontId="0" fillId="0" borderId="0" xfId="3" applyNumberFormat="1" applyFont="1" applyAlignment="1" applyProtection="1">
      <alignment horizontal="center"/>
    </xf>
    <xf numFmtId="169" fontId="2" fillId="0" borderId="0" xfId="3" applyNumberFormat="1" applyFont="1" applyFill="1" applyBorder="1" applyProtection="1">
      <protection locked="0"/>
    </xf>
    <xf numFmtId="192" fontId="0" fillId="0" borderId="7" xfId="3" applyNumberFormat="1" applyFont="1" applyBorder="1" applyAlignment="1" applyProtection="1">
      <alignment horizontal="centerContinuous"/>
    </xf>
    <xf numFmtId="178" fontId="0" fillId="0" borderId="0" xfId="3" applyNumberFormat="1" applyFont="1" applyBorder="1" applyAlignment="1" applyProtection="1">
      <alignment horizontal="center"/>
    </xf>
    <xf numFmtId="0" fontId="0" fillId="0" borderId="3" xfId="0" applyBorder="1" applyAlignment="1">
      <alignment horizontal="center"/>
    </xf>
    <xf numFmtId="0" fontId="0" fillId="0" borderId="0" xfId="3" applyFont="1" applyFill="1" applyProtection="1"/>
    <xf numFmtId="2" fontId="0" fillId="0" borderId="0" xfId="0" applyNumberFormat="1" applyFont="1"/>
    <xf numFmtId="0" fontId="0" fillId="0" borderId="1" xfId="3" applyFont="1" applyBorder="1" applyProtection="1"/>
    <xf numFmtId="197" fontId="0" fillId="0" borderId="0" xfId="3" applyNumberFormat="1" applyFont="1" applyAlignment="1" applyProtection="1">
      <alignment horizontal="center"/>
    </xf>
    <xf numFmtId="0" fontId="0" fillId="0" borderId="0" xfId="3" applyFont="1" applyBorder="1" applyAlignment="1" applyProtection="1">
      <alignment horizontal="center"/>
      <protection locked="0"/>
    </xf>
    <xf numFmtId="0" fontId="0" fillId="0" borderId="0" xfId="3" applyFont="1" applyBorder="1" applyAlignment="1" applyProtection="1">
      <alignment horizontal="center" vertical="center"/>
    </xf>
    <xf numFmtId="0" fontId="0" fillId="0" borderId="0" xfId="3" applyFont="1" applyBorder="1" applyAlignment="1" applyProtection="1">
      <alignment horizontal="left"/>
    </xf>
    <xf numFmtId="0" fontId="0" fillId="0" borderId="0" xfId="3" applyFont="1" applyBorder="1" applyAlignment="1">
      <alignment horizontal="centerContinuous"/>
    </xf>
    <xf numFmtId="173" fontId="0" fillId="0" borderId="0" xfId="3" applyNumberFormat="1" applyFont="1" applyBorder="1" applyAlignment="1" applyProtection="1">
      <alignment horizontal="center"/>
    </xf>
    <xf numFmtId="0" fontId="0" fillId="0" borderId="9" xfId="3" applyFont="1" applyBorder="1" applyAlignment="1" applyProtection="1">
      <alignment horizontal="center" vertical="center"/>
    </xf>
    <xf numFmtId="175" fontId="0" fillId="0" borderId="2" xfId="3" applyNumberFormat="1" applyFont="1" applyBorder="1" applyAlignment="1" applyProtection="1">
      <alignment horizontal="center"/>
      <protection locked="0"/>
    </xf>
    <xf numFmtId="170" fontId="0" fillId="0" borderId="0" xfId="0" applyNumberFormat="1" applyBorder="1" applyAlignment="1">
      <alignment horizontal="center"/>
    </xf>
    <xf numFmtId="2" fontId="0" fillId="0" borderId="0" xfId="3" applyNumberFormat="1" applyFont="1" applyAlignment="1" applyProtection="1">
      <alignment horizontal="right"/>
    </xf>
    <xf numFmtId="0" fontId="0" fillId="0" borderId="5" xfId="3" applyFont="1" applyBorder="1" applyAlignment="1" applyProtection="1">
      <alignment horizontal="center"/>
    </xf>
    <xf numFmtId="169" fontId="2" fillId="0" borderId="10" xfId="3" applyNumberFormat="1" applyFont="1" applyBorder="1" applyProtection="1">
      <protection locked="0"/>
    </xf>
    <xf numFmtId="1" fontId="2" fillId="0" borderId="0" xfId="3" applyNumberFormat="1" applyFont="1" applyBorder="1" applyAlignment="1" applyProtection="1">
      <alignment horizontal="center"/>
      <protection locked="0"/>
    </xf>
    <xf numFmtId="169" fontId="0" fillId="0" borderId="0" xfId="0" applyNumberFormat="1" applyFont="1" applyBorder="1"/>
    <xf numFmtId="169" fontId="0" fillId="0" borderId="0" xfId="0" applyNumberFormat="1" applyAlignment="1">
      <alignment horizontal="center"/>
    </xf>
    <xf numFmtId="169" fontId="2" fillId="0" borderId="0" xfId="0" applyNumberFormat="1" applyFont="1"/>
    <xf numFmtId="0" fontId="0" fillId="0" borderId="10" xfId="3" applyFont="1" applyBorder="1" applyAlignment="1" applyProtection="1">
      <alignment horizontal="centerContinuous" vertical="center"/>
    </xf>
    <xf numFmtId="0" fontId="0" fillId="0" borderId="0" xfId="3" applyNumberFormat="1" applyFont="1" applyBorder="1" applyProtection="1"/>
    <xf numFmtId="0" fontId="0" fillId="0" borderId="11" xfId="3" applyFont="1" applyBorder="1" applyAlignment="1">
      <alignment horizontal="center"/>
    </xf>
    <xf numFmtId="0" fontId="4" fillId="2" borderId="0" xfId="0" applyFont="1" applyFill="1" applyBorder="1" applyAlignment="1">
      <alignment vertical="center"/>
    </xf>
    <xf numFmtId="0" fontId="0" fillId="0" borderId="0" xfId="3" applyFont="1" applyBorder="1" applyAlignment="1">
      <alignment horizontal="center"/>
    </xf>
    <xf numFmtId="194" fontId="0" fillId="0" borderId="0" xfId="3" applyNumberFormat="1" applyFont="1" applyAlignment="1" applyProtection="1">
      <alignment horizontal="center"/>
    </xf>
    <xf numFmtId="181" fontId="0" fillId="0" borderId="0" xfId="3" applyNumberFormat="1" applyFont="1" applyAlignment="1" applyProtection="1">
      <alignment horizontal="center"/>
    </xf>
    <xf numFmtId="0" fontId="0" fillId="0" borderId="0" xfId="3" applyFont="1" applyBorder="1" applyAlignment="1" applyProtection="1">
      <alignment horizontal="centerContinuous"/>
    </xf>
    <xf numFmtId="170" fontId="0" fillId="0" borderId="0" xfId="0" applyNumberFormat="1" applyFill="1" applyBorder="1" applyAlignment="1"/>
    <xf numFmtId="0" fontId="0" fillId="0" borderId="11" xfId="3" applyNumberFormat="1" applyFont="1" applyBorder="1" applyAlignment="1" applyProtection="1">
      <alignment horizontal="center"/>
    </xf>
    <xf numFmtId="0" fontId="0" fillId="0" borderId="0" xfId="3" applyFont="1" applyBorder="1" applyAlignment="1"/>
    <xf numFmtId="0" fontId="3" fillId="0" borderId="0" xfId="3" applyFont="1" applyBorder="1" applyAlignment="1">
      <alignment horizontal="centerContinuous"/>
    </xf>
    <xf numFmtId="194" fontId="0" fillId="0" borderId="0" xfId="3" applyNumberFormat="1" applyFont="1" applyFill="1" applyAlignment="1" applyProtection="1">
      <alignment horizontal="center"/>
    </xf>
    <xf numFmtId="0" fontId="0" fillId="0" borderId="0" xfId="0" applyFont="1" applyAlignment="1">
      <alignment horizontal="center"/>
    </xf>
    <xf numFmtId="0" fontId="2" fillId="0" borderId="0" xfId="3" applyNumberFormat="1" applyFont="1" applyBorder="1" applyAlignment="1" applyProtection="1">
      <alignment horizontal="center"/>
      <protection locked="0"/>
    </xf>
    <xf numFmtId="2" fontId="0" fillId="0" borderId="0" xfId="0" applyNumberFormat="1" applyAlignment="1">
      <alignment horizontal="center"/>
    </xf>
    <xf numFmtId="196" fontId="0" fillId="0" borderId="0" xfId="3" applyNumberFormat="1" applyFont="1" applyAlignment="1" applyProtection="1">
      <alignment horizontal="left"/>
    </xf>
    <xf numFmtId="169" fontId="0" fillId="0" borderId="0" xfId="3" applyNumberFormat="1" applyFont="1" applyBorder="1" applyAlignment="1">
      <alignment horizontal="center"/>
    </xf>
    <xf numFmtId="0" fontId="0" fillId="0" borderId="0" xfId="3" applyFont="1" applyBorder="1" applyAlignment="1" applyProtection="1">
      <alignment horizontal="center"/>
    </xf>
    <xf numFmtId="0" fontId="0" fillId="0" borderId="0" xfId="0" applyFill="1" applyBorder="1" applyAlignment="1"/>
    <xf numFmtId="0" fontId="0" fillId="0" borderId="4" xfId="3" applyFont="1" applyBorder="1"/>
    <xf numFmtId="192" fontId="0" fillId="0" borderId="0" xfId="3" applyNumberFormat="1" applyFont="1" applyBorder="1" applyAlignment="1" applyProtection="1">
      <alignment horizontal="centerContinuous"/>
    </xf>
    <xf numFmtId="174" fontId="0" fillId="0" borderId="0" xfId="3" applyNumberFormat="1" applyFont="1" applyBorder="1" applyAlignment="1" applyProtection="1">
      <alignment horizontal="center"/>
    </xf>
    <xf numFmtId="169" fontId="0" fillId="0" borderId="0" xfId="0" applyNumberFormat="1" applyFont="1" applyAlignment="1">
      <alignment horizontal="center"/>
    </xf>
    <xf numFmtId="169" fontId="0" fillId="0" borderId="0" xfId="3" applyNumberFormat="1" applyFont="1" applyBorder="1" applyAlignment="1" applyProtection="1">
      <alignment horizontal="center"/>
    </xf>
    <xf numFmtId="0" fontId="0" fillId="0" borderId="8" xfId="3" applyFont="1" applyBorder="1" applyAlignment="1" applyProtection="1">
      <alignment horizontal="centerContinuous" vertical="center"/>
    </xf>
    <xf numFmtId="169" fontId="0" fillId="0" borderId="9" xfId="3" applyNumberFormat="1" applyFont="1" applyBorder="1" applyAlignment="1" applyProtection="1">
      <alignment horizontal="center"/>
    </xf>
    <xf numFmtId="0" fontId="0" fillId="0" borderId="12" xfId="3" applyFont="1" applyBorder="1" applyAlignment="1" applyProtection="1">
      <alignment horizontal="center" vertical="center"/>
    </xf>
    <xf numFmtId="0" fontId="0" fillId="0" borderId="4" xfId="3" applyFont="1" applyBorder="1" applyProtection="1"/>
    <xf numFmtId="192" fontId="0" fillId="0" borderId="0" xfId="3" applyNumberFormat="1" applyFont="1" applyBorder="1" applyAlignment="1" applyProtection="1">
      <alignment horizontal="center"/>
    </xf>
    <xf numFmtId="187" fontId="0" fillId="0" borderId="0" xfId="3" applyNumberFormat="1" applyFont="1" applyAlignment="1" applyProtection="1">
      <alignment horizontal="center"/>
    </xf>
    <xf numFmtId="0" fontId="0" fillId="0" borderId="0" xfId="0" applyFont="1" applyAlignment="1">
      <alignment horizontal="right"/>
    </xf>
    <xf numFmtId="0" fontId="0" fillId="0" borderId="12" xfId="3" applyFont="1" applyFill="1" applyBorder="1" applyAlignment="1" applyProtection="1">
      <alignment horizontal="center" vertical="center"/>
    </xf>
    <xf numFmtId="0" fontId="0" fillId="0" borderId="8" xfId="3" applyFont="1" applyBorder="1"/>
    <xf numFmtId="188" fontId="0" fillId="0" borderId="0" xfId="3" applyNumberFormat="1" applyFont="1" applyAlignment="1" applyProtection="1">
      <alignment horizontal="center"/>
    </xf>
    <xf numFmtId="0" fontId="0" fillId="0" borderId="14" xfId="3" applyFont="1" applyBorder="1" applyAlignment="1">
      <alignment horizontal="center"/>
    </xf>
    <xf numFmtId="0" fontId="5" fillId="0" borderId="0" xfId="3" applyFont="1" applyAlignment="1" applyProtection="1"/>
    <xf numFmtId="0" fontId="0" fillId="0" borderId="11" xfId="3" applyFont="1" applyBorder="1"/>
    <xf numFmtId="0" fontId="0" fillId="0" borderId="11" xfId="3" applyFont="1" applyBorder="1" applyAlignment="1" applyProtection="1">
      <alignment horizontal="center"/>
      <protection locked="0"/>
    </xf>
    <xf numFmtId="0" fontId="0" fillId="0" borderId="0" xfId="3" applyFont="1" applyBorder="1"/>
    <xf numFmtId="168" fontId="0" fillId="0" borderId="0" xfId="3" applyNumberFormat="1" applyFont="1" applyProtection="1"/>
    <xf numFmtId="183" fontId="0" fillId="0" borderId="0" xfId="0" applyNumberFormat="1" applyAlignment="1">
      <alignment horizontal="center"/>
    </xf>
    <xf numFmtId="170" fontId="0" fillId="0" borderId="0" xfId="3" applyNumberFormat="1" applyFont="1" applyAlignment="1" applyProtection="1">
      <alignment horizontal="right"/>
    </xf>
    <xf numFmtId="168" fontId="0" fillId="0" borderId="0" xfId="0" applyNumberFormat="1" applyAlignment="1">
      <alignment horizontal="center"/>
    </xf>
    <xf numFmtId="0" fontId="0" fillId="0" borderId="0" xfId="0" applyFill="1" applyBorder="1" applyAlignment="1">
      <alignment vertical="center"/>
    </xf>
    <xf numFmtId="2" fontId="0" fillId="0" borderId="9" xfId="3" applyNumberFormat="1" applyFont="1" applyBorder="1" applyAlignment="1" applyProtection="1">
      <alignment horizontal="center"/>
    </xf>
    <xf numFmtId="181" fontId="0" fillId="0" borderId="5" xfId="3" applyNumberFormat="1" applyFont="1" applyBorder="1" applyAlignment="1" applyProtection="1">
      <alignment horizontal="centerContinuous"/>
    </xf>
    <xf numFmtId="14" fontId="0" fillId="0" borderId="0" xfId="0" applyNumberFormat="1" applyFont="1"/>
    <xf numFmtId="1" fontId="0" fillId="0" borderId="0" xfId="3" applyNumberFormat="1" applyFont="1" applyProtection="1"/>
    <xf numFmtId="177" fontId="0" fillId="0" borderId="0" xfId="3" applyNumberFormat="1" applyFont="1" applyBorder="1" applyAlignment="1" applyProtection="1">
      <alignment horizontal="center"/>
    </xf>
    <xf numFmtId="166" fontId="0" fillId="0" borderId="2" xfId="3" applyNumberFormat="1" applyFont="1" applyBorder="1" applyAlignment="1" applyProtection="1">
      <alignment horizontal="center"/>
    </xf>
    <xf numFmtId="0" fontId="0" fillId="0" borderId="14" xfId="3" applyFont="1" applyBorder="1" applyAlignment="1" applyProtection="1">
      <alignment horizontal="center"/>
    </xf>
    <xf numFmtId="0" fontId="0" fillId="0" borderId="0" xfId="0" applyFont="1"/>
    <xf numFmtId="184" fontId="0" fillId="0" borderId="0" xfId="0" applyNumberFormat="1" applyAlignment="1">
      <alignment horizontal="center"/>
    </xf>
    <xf numFmtId="169" fontId="0" fillId="0" borderId="0" xfId="3" applyNumberFormat="1" applyFont="1" applyBorder="1"/>
    <xf numFmtId="0" fontId="0" fillId="0" borderId="3" xfId="0" applyFont="1" applyBorder="1"/>
    <xf numFmtId="166" fontId="0" fillId="0" borderId="6" xfId="3" applyNumberFormat="1" applyFont="1" applyBorder="1" applyAlignment="1" applyProtection="1">
      <alignment horizontal="center"/>
    </xf>
    <xf numFmtId="0" fontId="0" fillId="0" borderId="0" xfId="3" applyFont="1" applyBorder="1" applyProtection="1"/>
    <xf numFmtId="0" fontId="0" fillId="0" borderId="0" xfId="3" applyNumberFormat="1" applyFont="1" applyAlignment="1" applyProtection="1">
      <alignment horizontal="left"/>
    </xf>
    <xf numFmtId="169" fontId="2" fillId="0" borderId="2" xfId="3" applyNumberFormat="1" applyFont="1" applyBorder="1" applyProtection="1">
      <protection locked="0"/>
    </xf>
    <xf numFmtId="175" fontId="0" fillId="0" borderId="0" xfId="3" applyNumberFormat="1" applyFont="1" applyBorder="1" applyAlignment="1" applyProtection="1">
      <alignment horizontal="center"/>
      <protection locked="0"/>
    </xf>
    <xf numFmtId="0" fontId="0" fillId="0" borderId="0" xfId="0" applyBorder="1" applyAlignment="1">
      <alignment horizontal="center"/>
    </xf>
    <xf numFmtId="0" fontId="0" fillId="0" borderId="1" xfId="3" applyFont="1" applyBorder="1" applyAlignment="1" applyProtection="1">
      <alignment horizontal="centerContinuous" vertical="center"/>
    </xf>
    <xf numFmtId="0" fontId="6" fillId="0" borderId="0" xfId="0" applyFont="1" applyFill="1" applyBorder="1" applyAlignment="1">
      <alignment horizontal="center"/>
    </xf>
    <xf numFmtId="0" fontId="0" fillId="0" borderId="2" xfId="3" applyFont="1" applyBorder="1" applyAlignment="1" applyProtection="1">
      <alignment horizontal="centerContinuous" vertical="center"/>
    </xf>
    <xf numFmtId="0" fontId="0" fillId="0" borderId="0" xfId="3" applyFont="1" applyAlignment="1">
      <alignment horizontal="centerContinuous"/>
    </xf>
    <xf numFmtId="169" fontId="2" fillId="0" borderId="6" xfId="3" applyNumberFormat="1" applyFont="1" applyBorder="1" applyProtection="1">
      <protection locked="0"/>
    </xf>
    <xf numFmtId="0" fontId="2" fillId="0" borderId="11" xfId="3" applyNumberFormat="1" applyFont="1" applyBorder="1" applyAlignment="1" applyProtection="1">
      <alignment horizontal="center"/>
      <protection locked="0"/>
    </xf>
    <xf numFmtId="170" fontId="0" fillId="0" borderId="0" xfId="0" applyNumberFormat="1" applyAlignment="1">
      <alignment horizontal="center"/>
    </xf>
    <xf numFmtId="179" fontId="0" fillId="0" borderId="0" xfId="3" applyNumberFormat="1" applyFont="1" applyBorder="1" applyAlignment="1" applyProtection="1">
      <alignment horizontal="center"/>
    </xf>
    <xf numFmtId="169" fontId="0" fillId="0" borderId="0" xfId="0" applyNumberFormat="1" applyFont="1"/>
    <xf numFmtId="2" fontId="0" fillId="0" borderId="0" xfId="0" applyNumberFormat="1" applyFont="1" applyAlignment="1">
      <alignment horizontal="right"/>
    </xf>
    <xf numFmtId="0" fontId="0" fillId="0" borderId="0" xfId="3" applyNumberFormat="1" applyFont="1" applyProtection="1"/>
    <xf numFmtId="0" fontId="0" fillId="0" borderId="13" xfId="3" applyFont="1" applyBorder="1"/>
    <xf numFmtId="0" fontId="0" fillId="2" borderId="0" xfId="0" applyFill="1" applyBorder="1" applyAlignment="1">
      <alignment vertical="center"/>
    </xf>
    <xf numFmtId="181" fontId="0" fillId="0" borderId="0" xfId="3" applyNumberFormat="1" applyFont="1" applyBorder="1" applyAlignment="1" applyProtection="1">
      <alignment horizontal="centerContinuous"/>
    </xf>
    <xf numFmtId="0" fontId="0" fillId="0" borderId="1" xfId="3" applyFont="1" applyBorder="1" applyAlignment="1" applyProtection="1">
      <alignment horizontal="left"/>
    </xf>
    <xf numFmtId="169" fontId="0" fillId="0" borderId="0" xfId="0" applyNumberFormat="1" applyBorder="1" applyAlignment="1">
      <alignment horizontal="center"/>
    </xf>
    <xf numFmtId="176" fontId="0" fillId="0" borderId="0" xfId="3" applyNumberFormat="1" applyFont="1" applyBorder="1" applyAlignment="1" applyProtection="1">
      <alignment horizontal="center"/>
    </xf>
    <xf numFmtId="1" fontId="2" fillId="0" borderId="2" xfId="3" applyNumberFormat="1" applyFont="1" applyBorder="1" applyAlignment="1" applyProtection="1">
      <alignment horizontal="center"/>
      <protection locked="0"/>
    </xf>
    <xf numFmtId="0" fontId="0" fillId="0" borderId="0" xfId="3" applyFont="1" applyAlignment="1" applyProtection="1">
      <alignment horizontal="centerContinuous"/>
    </xf>
    <xf numFmtId="180" fontId="0" fillId="0" borderId="0" xfId="3" applyNumberFormat="1" applyFont="1" applyBorder="1" applyAlignment="1" applyProtection="1">
      <alignment horizontal="center"/>
    </xf>
    <xf numFmtId="0" fontId="0" fillId="0" borderId="0" xfId="3" applyFont="1" applyAlignment="1"/>
    <xf numFmtId="1" fontId="2" fillId="0" borderId="6" xfId="3" applyNumberFormat="1" applyFont="1" applyBorder="1" applyAlignment="1" applyProtection="1">
      <alignment horizontal="center"/>
      <protection locked="0"/>
    </xf>
    <xf numFmtId="0" fontId="3" fillId="0" borderId="0" xfId="3" applyFont="1" applyAlignment="1">
      <alignment horizontal="centerContinuous"/>
    </xf>
    <xf numFmtId="181" fontId="0" fillId="0" borderId="0" xfId="3" applyNumberFormat="1" applyFont="1" applyBorder="1" applyAlignment="1" applyProtection="1">
      <alignment horizontal="center"/>
    </xf>
    <xf numFmtId="0" fontId="0" fillId="0" borderId="13" xfId="3" applyFont="1" applyBorder="1" applyProtection="1"/>
    <xf numFmtId="191" fontId="0" fillId="0" borderId="0" xfId="2" applyNumberFormat="1" applyFont="1" applyFill="1"/>
    <xf numFmtId="1" fontId="0" fillId="0" borderId="0" xfId="0" quotePrefix="1" applyNumberFormat="1" applyFont="1" applyAlignment="1">
      <alignment horizontal="right"/>
    </xf>
    <xf numFmtId="198" fontId="0" fillId="0" borderId="0" xfId="0" quotePrefix="1" applyNumberFormat="1" applyFont="1" applyBorder="1" applyAlignment="1">
      <alignment horizontal="left"/>
    </xf>
    <xf numFmtId="169" fontId="0" fillId="0" borderId="0" xfId="3" applyNumberFormat="1" applyFont="1" applyAlignment="1">
      <alignment horizontal="center"/>
    </xf>
    <xf numFmtId="0" fontId="0" fillId="0" borderId="0" xfId="3" applyFont="1" applyAlignment="1" applyProtection="1">
      <alignment horizontal="center"/>
    </xf>
    <xf numFmtId="0" fontId="0" fillId="0" borderId="0" xfId="0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15" xfId="3" applyFont="1" applyBorder="1" applyAlignment="1" applyProtection="1">
      <alignment horizontal="center" vertical="center"/>
    </xf>
    <xf numFmtId="177" fontId="0" fillId="0" borderId="0" xfId="3" applyNumberFormat="1" applyFont="1" applyBorder="1" applyProtection="1"/>
    <xf numFmtId="0" fontId="7" fillId="0" borderId="0" xfId="3" applyFont="1" applyProtection="1"/>
    <xf numFmtId="0" fontId="3" fillId="0" borderId="0" xfId="3" applyFont="1" applyAlignment="1" applyProtection="1">
      <alignment horizontal="centerContinuous"/>
    </xf>
    <xf numFmtId="171" fontId="0" fillId="0" borderId="0" xfId="3" applyNumberFormat="1" applyFont="1" applyAlignment="1" applyProtection="1">
      <alignment horizontal="center"/>
    </xf>
    <xf numFmtId="186" fontId="0" fillId="0" borderId="0" xfId="3" applyNumberFormat="1" applyFont="1" applyAlignment="1" applyProtection="1">
      <alignment horizontal="center"/>
    </xf>
    <xf numFmtId="0" fontId="0" fillId="0" borderId="0" xfId="3" applyFont="1" applyAlignment="1">
      <alignment horizontal="right"/>
    </xf>
    <xf numFmtId="0" fontId="0" fillId="0" borderId="15" xfId="3" applyFont="1" applyFill="1" applyBorder="1" applyAlignment="1" applyProtection="1">
      <alignment horizontal="center" vertical="center"/>
    </xf>
    <xf numFmtId="169" fontId="0" fillId="0" borderId="0" xfId="3" applyNumberFormat="1" applyFont="1" applyAlignment="1" applyProtection="1">
      <alignment horizontal="center"/>
    </xf>
    <xf numFmtId="2" fontId="0" fillId="0" borderId="0" xfId="3" applyNumberFormat="1" applyFont="1" applyBorder="1" applyAlignment="1" applyProtection="1">
      <alignment horizontal="center"/>
    </xf>
    <xf numFmtId="169" fontId="0" fillId="0" borderId="0" xfId="0" applyNumberFormat="1" applyFont="1" applyBorder="1" applyAlignment="1">
      <alignment horizontal="center"/>
    </xf>
    <xf numFmtId="2" fontId="0" fillId="0" borderId="0" xfId="0" applyNumberFormat="1" applyFont="1" applyAlignment="1"/>
    <xf numFmtId="192" fontId="0" fillId="0" borderId="0" xfId="3" applyNumberFormat="1" applyFont="1" applyAlignment="1" applyProtection="1">
      <alignment horizontal="center"/>
    </xf>
    <xf numFmtId="0" fontId="0" fillId="0" borderId="4" xfId="3" applyFont="1" applyBorder="1" applyAlignment="1" applyProtection="1">
      <alignment horizontal="centerContinuous" vertical="center"/>
    </xf>
    <xf numFmtId="0" fontId="0" fillId="0" borderId="0" xfId="3" applyNumberFormat="1" applyFont="1" applyBorder="1" applyAlignment="1" applyProtection="1">
      <alignment horizontal="center"/>
    </xf>
    <xf numFmtId="0" fontId="0" fillId="0" borderId="15" xfId="0" applyBorder="1" applyAlignment="1">
      <alignment horizontal="center"/>
    </xf>
    <xf numFmtId="0" fontId="3" fillId="0" borderId="0" xfId="3" applyFont="1" applyAlignment="1" applyProtection="1">
      <alignment horizontal="center"/>
    </xf>
    <xf numFmtId="181" fontId="0" fillId="0" borderId="14" xfId="3" applyNumberFormat="1" applyFont="1" applyBorder="1" applyAlignment="1" applyProtection="1">
      <alignment horizontal="centerContinuous"/>
    </xf>
    <xf numFmtId="0" fontId="0" fillId="0" borderId="0" xfId="3" applyFont="1" applyAlignment="1" applyProtection="1">
      <alignment horizontal="right"/>
    </xf>
    <xf numFmtId="191" fontId="0" fillId="0" borderId="0" xfId="0" applyNumberFormat="1" applyAlignment="1">
      <alignment horizontal="left"/>
    </xf>
    <xf numFmtId="172" fontId="0" fillId="0" borderId="0" xfId="3" applyNumberFormat="1" applyFont="1" applyAlignment="1" applyProtection="1">
      <alignment horizontal="center"/>
    </xf>
    <xf numFmtId="0" fontId="0" fillId="0" borderId="0" xfId="3" applyFont="1"/>
    <xf numFmtId="0" fontId="0" fillId="0" borderId="2" xfId="0" applyFont="1" applyBorder="1" applyAlignment="1">
      <alignment horizontal="center"/>
    </xf>
    <xf numFmtId="0" fontId="0" fillId="0" borderId="0" xfId="3" applyFont="1" applyAlignment="1" applyProtection="1">
      <alignment horizontal="left"/>
    </xf>
    <xf numFmtId="166" fontId="0" fillId="0" borderId="0" xfId="3" applyNumberFormat="1" applyFont="1" applyBorder="1" applyAlignment="1" applyProtection="1">
      <alignment horizontal="center"/>
    </xf>
    <xf numFmtId="0" fontId="0" fillId="0" borderId="3" xfId="3" applyFont="1" applyBorder="1" applyAlignment="1" applyProtection="1">
      <alignment horizontal="center" vertical="center"/>
    </xf>
    <xf numFmtId="0" fontId="0" fillId="0" borderId="0" xfId="3" applyFont="1" applyFill="1"/>
    <xf numFmtId="168" fontId="0" fillId="0" borderId="0" xfId="3" applyNumberFormat="1" applyFont="1" applyBorder="1" applyProtection="1"/>
    <xf numFmtId="183" fontId="0" fillId="0" borderId="0" xfId="0" applyNumberFormat="1" applyBorder="1" applyAlignment="1">
      <alignment horizontal="center"/>
    </xf>
    <xf numFmtId="0" fontId="5" fillId="0" borderId="0" xfId="3" applyFont="1" applyAlignment="1" applyProtection="1">
      <alignment horizontal="center"/>
    </xf>
    <xf numFmtId="192" fontId="0" fillId="0" borderId="4" xfId="3" applyNumberFormat="1" applyFont="1" applyBorder="1" applyAlignment="1" applyProtection="1">
      <alignment horizontal="center"/>
    </xf>
    <xf numFmtId="192" fontId="0" fillId="0" borderId="10" xfId="3" applyNumberFormat="1" applyFont="1" applyBorder="1" applyAlignment="1" applyProtection="1">
      <alignment horizontal="center"/>
    </xf>
    <xf numFmtId="0" fontId="0" fillId="0" borderId="13" xfId="0" applyFont="1" applyBorder="1" applyAlignment="1">
      <alignment horizontal="center"/>
    </xf>
    <xf numFmtId="0" fontId="0" fillId="0" borderId="6" xfId="0" applyFont="1" applyBorder="1" applyAlignment="1">
      <alignment horizontal="center"/>
    </xf>
    <xf numFmtId="2" fontId="0" fillId="0" borderId="7" xfId="3" applyNumberFormat="1" applyFont="1" applyBorder="1" applyAlignment="1" applyProtection="1">
      <alignment horizontal="center"/>
    </xf>
    <xf numFmtId="2" fontId="0" fillId="0" borderId="5" xfId="3" applyNumberFormat="1" applyFont="1" applyBorder="1" applyAlignment="1" applyProtection="1">
      <alignment horizontal="center"/>
    </xf>
    <xf numFmtId="0" fontId="0" fillId="0" borderId="0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5" xfId="0" applyBorder="1" applyAlignment="1">
      <alignment horizontal="center"/>
    </xf>
  </cellXfs>
  <cellStyles count="4">
    <cellStyle name="Normal" xfId="0" builtinId="0"/>
    <cellStyle name="Normal 2" xfId="1"/>
    <cellStyle name="Normal_Core Data H-3258" xfId="2"/>
    <cellStyle name="Normal_HG-DATA_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5492957746478872"/>
          <c:y val="7.0234113712374549E-2"/>
          <c:w val="0.76760563380283331"/>
          <c:h val="0.81605351170568552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Table!$B$18:$B$136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5.9541530217326585E-5</c:v>
                </c:pt>
                <c:pt idx="39">
                  <c:v>1.1908306043465317E-4</c:v>
                </c:pt>
                <c:pt idx="40">
                  <c:v>2.3816612086930634E-4</c:v>
                </c:pt>
                <c:pt idx="41">
                  <c:v>7.1449836260791899E-4</c:v>
                </c:pt>
                <c:pt idx="42">
                  <c:v>2.6198273295623699E-3</c:v>
                </c:pt>
                <c:pt idx="43">
                  <c:v>5.1801131289074126E-3</c:v>
                </c:pt>
                <c:pt idx="44">
                  <c:v>8.0381065793390886E-3</c:v>
                </c:pt>
                <c:pt idx="45">
                  <c:v>1.6969336111938078E-2</c:v>
                </c:pt>
                <c:pt idx="46">
                  <c:v>2.774635308127419E-2</c:v>
                </c:pt>
                <c:pt idx="47">
                  <c:v>5.2694254242334024E-2</c:v>
                </c:pt>
                <c:pt idx="48">
                  <c:v>0.10145876749032449</c:v>
                </c:pt>
                <c:pt idx="49">
                  <c:v>0.16338195891634413</c:v>
                </c:pt>
                <c:pt idx="50">
                  <c:v>0.24036915748734744</c:v>
                </c:pt>
                <c:pt idx="51">
                  <c:v>0.32872878832986008</c:v>
                </c:pt>
                <c:pt idx="52">
                  <c:v>0.37826734147067581</c:v>
                </c:pt>
                <c:pt idx="53">
                  <c:v>0.41113426615064008</c:v>
                </c:pt>
                <c:pt idx="54">
                  <c:v>0.43858291158082763</c:v>
                </c:pt>
                <c:pt idx="55">
                  <c:v>0.46400714498362605</c:v>
                </c:pt>
                <c:pt idx="56">
                  <c:v>0.48788329860077406</c:v>
                </c:pt>
                <c:pt idx="57">
                  <c:v>0.50979458172075021</c:v>
                </c:pt>
                <c:pt idx="58">
                  <c:v>0.52986007740398933</c:v>
                </c:pt>
                <c:pt idx="59">
                  <c:v>0.54938969931527237</c:v>
                </c:pt>
                <c:pt idx="60">
                  <c:v>0.56743078297112237</c:v>
                </c:pt>
                <c:pt idx="61">
                  <c:v>0.58517415897588565</c:v>
                </c:pt>
                <c:pt idx="62">
                  <c:v>0.60238166120869308</c:v>
                </c:pt>
                <c:pt idx="63">
                  <c:v>0.61917237272997916</c:v>
                </c:pt>
                <c:pt idx="64">
                  <c:v>0.63483179517713606</c:v>
                </c:pt>
                <c:pt idx="65">
                  <c:v>0.65025305150342372</c:v>
                </c:pt>
                <c:pt idx="66">
                  <c:v>0.66573384935992863</c:v>
                </c:pt>
                <c:pt idx="67">
                  <c:v>0.6803215242631736</c:v>
                </c:pt>
                <c:pt idx="68">
                  <c:v>0.69473057457576659</c:v>
                </c:pt>
                <c:pt idx="69">
                  <c:v>0.70860375111640361</c:v>
                </c:pt>
                <c:pt idx="70">
                  <c:v>0.7222387615361715</c:v>
                </c:pt>
                <c:pt idx="71">
                  <c:v>0.73539743971420068</c:v>
                </c:pt>
                <c:pt idx="72">
                  <c:v>0.74813932718070852</c:v>
                </c:pt>
                <c:pt idx="73">
                  <c:v>0.76004763322417379</c:v>
                </c:pt>
                <c:pt idx="74">
                  <c:v>0.77219410538850841</c:v>
                </c:pt>
                <c:pt idx="75">
                  <c:v>0.78410241143197379</c:v>
                </c:pt>
                <c:pt idx="76">
                  <c:v>0.79541530217326595</c:v>
                </c:pt>
                <c:pt idx="77">
                  <c:v>0.80631140220303665</c:v>
                </c:pt>
                <c:pt idx="78">
                  <c:v>0.81673116999106876</c:v>
                </c:pt>
                <c:pt idx="79">
                  <c:v>0.82715093777910087</c:v>
                </c:pt>
                <c:pt idx="80">
                  <c:v>0.83685620720452514</c:v>
                </c:pt>
                <c:pt idx="81">
                  <c:v>0.84596606132777619</c:v>
                </c:pt>
                <c:pt idx="82">
                  <c:v>0.85537362310211373</c:v>
                </c:pt>
                <c:pt idx="83">
                  <c:v>0.86412622804406081</c:v>
                </c:pt>
                <c:pt idx="84">
                  <c:v>0.87240250074426917</c:v>
                </c:pt>
                <c:pt idx="85">
                  <c:v>0.88085739803512952</c:v>
                </c:pt>
                <c:pt idx="86">
                  <c:v>0.88877642155403391</c:v>
                </c:pt>
                <c:pt idx="87">
                  <c:v>0.89651682048228643</c:v>
                </c:pt>
                <c:pt idx="88">
                  <c:v>0.90395951175945222</c:v>
                </c:pt>
                <c:pt idx="89">
                  <c:v>0.91140220303661801</c:v>
                </c:pt>
                <c:pt idx="90">
                  <c:v>0.91848764513247994</c:v>
                </c:pt>
                <c:pt idx="91">
                  <c:v>0.92473950580529918</c:v>
                </c:pt>
                <c:pt idx="92">
                  <c:v>0.93128907412920514</c:v>
                </c:pt>
                <c:pt idx="93">
                  <c:v>0.93742185174158976</c:v>
                </c:pt>
                <c:pt idx="94">
                  <c:v>0.94313783864245315</c:v>
                </c:pt>
                <c:pt idx="95">
                  <c:v>0.94855611789222982</c:v>
                </c:pt>
                <c:pt idx="96">
                  <c:v>0.95337898183983327</c:v>
                </c:pt>
                <c:pt idx="97">
                  <c:v>0.95867817802917543</c:v>
                </c:pt>
                <c:pt idx="98">
                  <c:v>0.96296516820482281</c:v>
                </c:pt>
                <c:pt idx="99">
                  <c:v>0.96725215838047041</c:v>
                </c:pt>
                <c:pt idx="100">
                  <c:v>0.97094373325394467</c:v>
                </c:pt>
                <c:pt idx="101">
                  <c:v>0.97457576659720158</c:v>
                </c:pt>
                <c:pt idx="102">
                  <c:v>0.97802917534980649</c:v>
                </c:pt>
                <c:pt idx="103">
                  <c:v>0.98118487645132479</c:v>
                </c:pt>
                <c:pt idx="104">
                  <c:v>0.9838642453111045</c:v>
                </c:pt>
                <c:pt idx="105">
                  <c:v>0.98636498958023222</c:v>
                </c:pt>
                <c:pt idx="106">
                  <c:v>0.98892527537957731</c:v>
                </c:pt>
                <c:pt idx="107">
                  <c:v>0.99100922893718379</c:v>
                </c:pt>
                <c:pt idx="108">
                  <c:v>0.99315272402500743</c:v>
                </c:pt>
                <c:pt idx="109">
                  <c:v>0.99511759452217918</c:v>
                </c:pt>
                <c:pt idx="110">
                  <c:v>0.99553438523370041</c:v>
                </c:pt>
                <c:pt idx="111">
                  <c:v>0.99732063114022029</c:v>
                </c:pt>
                <c:pt idx="112">
                  <c:v>0.99785650491217626</c:v>
                </c:pt>
                <c:pt idx="113">
                  <c:v>0.99863054480500146</c:v>
                </c:pt>
                <c:pt idx="114">
                  <c:v>0.99910687704674006</c:v>
                </c:pt>
                <c:pt idx="115">
                  <c:v>0.99946412622804415</c:v>
                </c:pt>
                <c:pt idx="116">
                  <c:v>0.99988091693956538</c:v>
                </c:pt>
                <c:pt idx="117">
                  <c:v>0.99988091693956538</c:v>
                </c:pt>
                <c:pt idx="118">
                  <c:v>1</c:v>
                </c:pt>
              </c:numCache>
            </c:numRef>
          </c:xVal>
          <c:yVal>
            <c:numRef>
              <c:f>Table!$A$18:$A$136</c:f>
              <c:numCache>
                <c:formatCode>????0.00</c:formatCode>
                <c:ptCount val="119"/>
                <c:pt idx="0">
                  <c:v>1.5079505443572998</c:v>
                </c:pt>
                <c:pt idx="1">
                  <c:v>1.5989933013916016</c:v>
                </c:pt>
                <c:pt idx="2">
                  <c:v>1.8068345785140991</c:v>
                </c:pt>
                <c:pt idx="3">
                  <c:v>2.0094594955444336</c:v>
                </c:pt>
                <c:pt idx="4">
                  <c:v>2.1648108959197998</c:v>
                </c:pt>
                <c:pt idx="5">
                  <c:v>2.3579812049865723</c:v>
                </c:pt>
                <c:pt idx="6">
                  <c:v>2.5763368606567383</c:v>
                </c:pt>
                <c:pt idx="7">
                  <c:v>2.8118090629577637</c:v>
                </c:pt>
                <c:pt idx="8">
                  <c:v>3.0808615684509277</c:v>
                </c:pt>
                <c:pt idx="9">
                  <c:v>3.3865108489990234</c:v>
                </c:pt>
                <c:pt idx="10">
                  <c:v>3.6919970512390137</c:v>
                </c:pt>
                <c:pt idx="11">
                  <c:v>4.0388069152832031</c:v>
                </c:pt>
                <c:pt idx="12">
                  <c:v>4.4196047782897949</c:v>
                </c:pt>
                <c:pt idx="13">
                  <c:v>4.8204536437988281</c:v>
                </c:pt>
                <c:pt idx="14">
                  <c:v>5.2622184753417969</c:v>
                </c:pt>
                <c:pt idx="15">
                  <c:v>5.763972282409668</c:v>
                </c:pt>
                <c:pt idx="16">
                  <c:v>6.3053379058837891</c:v>
                </c:pt>
                <c:pt idx="17">
                  <c:v>6.8938956260681152</c:v>
                </c:pt>
                <c:pt idx="18">
                  <c:v>7.542360782623291</c:v>
                </c:pt>
                <c:pt idx="19">
                  <c:v>8.2497549057006836</c:v>
                </c:pt>
                <c:pt idx="20">
                  <c:v>9.0262670516967773</c:v>
                </c:pt>
                <c:pt idx="21">
                  <c:v>9.8776836395263672</c:v>
                </c:pt>
                <c:pt idx="22">
                  <c:v>10.782322883605957</c:v>
                </c:pt>
                <c:pt idx="23">
                  <c:v>11.883312225341797</c:v>
                </c:pt>
                <c:pt idx="24">
                  <c:v>12.884048461914062</c:v>
                </c:pt>
                <c:pt idx="25">
                  <c:v>14.184564590454102</c:v>
                </c:pt>
                <c:pt idx="26">
                  <c:v>15.478479385375977</c:v>
                </c:pt>
                <c:pt idx="27">
                  <c:v>16.87272834777832</c:v>
                </c:pt>
                <c:pt idx="28">
                  <c:v>18.472209930419922</c:v>
                </c:pt>
                <c:pt idx="29">
                  <c:v>20.266654968261719</c:v>
                </c:pt>
                <c:pt idx="30">
                  <c:v>22.155405044555664</c:v>
                </c:pt>
                <c:pt idx="31">
                  <c:v>24.306196212768555</c:v>
                </c:pt>
                <c:pt idx="32">
                  <c:v>26.600929260253906</c:v>
                </c:pt>
                <c:pt idx="33">
                  <c:v>28.999906539916992</c:v>
                </c:pt>
                <c:pt idx="34">
                  <c:v>32.723876953125</c:v>
                </c:pt>
                <c:pt idx="35">
                  <c:v>34.605560302734375</c:v>
                </c:pt>
                <c:pt idx="36">
                  <c:v>36.36199951171875</c:v>
                </c:pt>
                <c:pt idx="37">
                  <c:v>40.809551239013672</c:v>
                </c:pt>
                <c:pt idx="38">
                  <c:v>47.698688507080078</c:v>
                </c:pt>
                <c:pt idx="39">
                  <c:v>52.025604248046875</c:v>
                </c:pt>
                <c:pt idx="40">
                  <c:v>55.131130218505859</c:v>
                </c:pt>
                <c:pt idx="41">
                  <c:v>58.93280029296875</c:v>
                </c:pt>
                <c:pt idx="42">
                  <c:v>65.401535034179688</c:v>
                </c:pt>
                <c:pt idx="43">
                  <c:v>72.479629516601563</c:v>
                </c:pt>
                <c:pt idx="44">
                  <c:v>78.002883911132813</c:v>
                </c:pt>
                <c:pt idx="45">
                  <c:v>86.993820190429687</c:v>
                </c:pt>
                <c:pt idx="46">
                  <c:v>93.568252563476562</c:v>
                </c:pt>
                <c:pt idx="47">
                  <c:v>101.06266021728516</c:v>
                </c:pt>
                <c:pt idx="48">
                  <c:v>111.86637878417969</c:v>
                </c:pt>
                <c:pt idx="49">
                  <c:v>121.24658203125</c:v>
                </c:pt>
                <c:pt idx="50">
                  <c:v>132.07147216796875</c:v>
                </c:pt>
                <c:pt idx="51">
                  <c:v>145.78900146484375</c:v>
                </c:pt>
                <c:pt idx="52">
                  <c:v>159.09428405761719</c:v>
                </c:pt>
                <c:pt idx="53">
                  <c:v>173.39022827148437</c:v>
                </c:pt>
                <c:pt idx="54">
                  <c:v>190.35183715820312</c:v>
                </c:pt>
                <c:pt idx="55">
                  <c:v>207.28080749511719</c:v>
                </c:pt>
                <c:pt idx="56">
                  <c:v>227.23202514648437</c:v>
                </c:pt>
                <c:pt idx="57">
                  <c:v>249.40620422363281</c:v>
                </c:pt>
                <c:pt idx="58">
                  <c:v>272.391845703125</c:v>
                </c:pt>
                <c:pt idx="59">
                  <c:v>298.2232666015625</c:v>
                </c:pt>
                <c:pt idx="60">
                  <c:v>326.37591552734375</c:v>
                </c:pt>
                <c:pt idx="61">
                  <c:v>356.75851440429687</c:v>
                </c:pt>
                <c:pt idx="62">
                  <c:v>390.95266723632812</c:v>
                </c:pt>
                <c:pt idx="63">
                  <c:v>428.77883911132812</c:v>
                </c:pt>
                <c:pt idx="64">
                  <c:v>468.39871215820313</c:v>
                </c:pt>
                <c:pt idx="65">
                  <c:v>512.6256103515625</c:v>
                </c:pt>
                <c:pt idx="66">
                  <c:v>561.51080322265625</c:v>
                </c:pt>
                <c:pt idx="67">
                  <c:v>612.99505615234375</c:v>
                </c:pt>
                <c:pt idx="68">
                  <c:v>671.7947998046875</c:v>
                </c:pt>
                <c:pt idx="69">
                  <c:v>735.12127685546875</c:v>
                </c:pt>
                <c:pt idx="70">
                  <c:v>805.29315185546875</c:v>
                </c:pt>
                <c:pt idx="71">
                  <c:v>882.249267578125</c:v>
                </c:pt>
                <c:pt idx="72">
                  <c:v>963.4791259765625</c:v>
                </c:pt>
                <c:pt idx="73">
                  <c:v>1049.4617919921875</c:v>
                </c:pt>
                <c:pt idx="74">
                  <c:v>1147.81640625</c:v>
                </c:pt>
                <c:pt idx="75">
                  <c:v>1257.88330078125</c:v>
                </c:pt>
                <c:pt idx="76">
                  <c:v>1377.6939697265625</c:v>
                </c:pt>
                <c:pt idx="77">
                  <c:v>1508.98828125</c:v>
                </c:pt>
                <c:pt idx="78">
                  <c:v>1647.8408203125</c:v>
                </c:pt>
                <c:pt idx="79">
                  <c:v>1810.311767578125</c:v>
                </c:pt>
                <c:pt idx="80">
                  <c:v>1977.9501953125</c:v>
                </c:pt>
                <c:pt idx="81">
                  <c:v>2157.90869140625</c:v>
                </c:pt>
                <c:pt idx="82">
                  <c:v>2367.27734375</c:v>
                </c:pt>
                <c:pt idx="83">
                  <c:v>2587.785400390625</c:v>
                </c:pt>
                <c:pt idx="84">
                  <c:v>2828.416259765625</c:v>
                </c:pt>
                <c:pt idx="85">
                  <c:v>3097.677490234375</c:v>
                </c:pt>
                <c:pt idx="86">
                  <c:v>3388.3642578125</c:v>
                </c:pt>
                <c:pt idx="87">
                  <c:v>3707.504150390625</c:v>
                </c:pt>
                <c:pt idx="88">
                  <c:v>4057.88720703125</c:v>
                </c:pt>
                <c:pt idx="89">
                  <c:v>4436.26611328125</c:v>
                </c:pt>
                <c:pt idx="90">
                  <c:v>4846.330078125</c:v>
                </c:pt>
                <c:pt idx="91">
                  <c:v>5306.1572265625</c:v>
                </c:pt>
                <c:pt idx="92">
                  <c:v>5806.18505859375</c:v>
                </c:pt>
                <c:pt idx="93">
                  <c:v>6356.0322265625</c:v>
                </c:pt>
                <c:pt idx="94">
                  <c:v>6946.64892578125</c:v>
                </c:pt>
                <c:pt idx="95">
                  <c:v>7605.603515625</c:v>
                </c:pt>
                <c:pt idx="96">
                  <c:v>8316.3798828125</c:v>
                </c:pt>
                <c:pt idx="97">
                  <c:v>9095.7431640625</c:v>
                </c:pt>
                <c:pt idx="98">
                  <c:v>9956.6552734375</c:v>
                </c:pt>
                <c:pt idx="99">
                  <c:v>10895.544921875</c:v>
                </c:pt>
                <c:pt idx="100">
                  <c:v>11896.017578125</c:v>
                </c:pt>
                <c:pt idx="101">
                  <c:v>12996.1474609375</c:v>
                </c:pt>
                <c:pt idx="102">
                  <c:v>14295.568359375</c:v>
                </c:pt>
                <c:pt idx="103">
                  <c:v>15595.158203125</c:v>
                </c:pt>
                <c:pt idx="104">
                  <c:v>17095.025390625</c:v>
                </c:pt>
                <c:pt idx="105">
                  <c:v>18694.2890625</c:v>
                </c:pt>
                <c:pt idx="106">
                  <c:v>20392.330078125</c:v>
                </c:pt>
                <c:pt idx="107">
                  <c:v>22294.09765625</c:v>
                </c:pt>
                <c:pt idx="108">
                  <c:v>24394.755859375</c:v>
                </c:pt>
                <c:pt idx="109">
                  <c:v>26695.763671875</c:v>
                </c:pt>
                <c:pt idx="110">
                  <c:v>29295.09375</c:v>
                </c:pt>
                <c:pt idx="111">
                  <c:v>31989.87109375</c:v>
                </c:pt>
                <c:pt idx="112">
                  <c:v>34986.37890625</c:v>
                </c:pt>
                <c:pt idx="113">
                  <c:v>38281.48046875</c:v>
                </c:pt>
                <c:pt idx="114">
                  <c:v>41877.9609375</c:v>
                </c:pt>
                <c:pt idx="115">
                  <c:v>45774.84375</c:v>
                </c:pt>
                <c:pt idx="116">
                  <c:v>50072.640625</c:v>
                </c:pt>
                <c:pt idx="117">
                  <c:v>54763.51953125</c:v>
                </c:pt>
                <c:pt idx="118">
                  <c:v>59436.02734375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451328"/>
        <c:axId val="48580480"/>
      </c:scatterChart>
      <c:valAx>
        <c:axId val="46451328"/>
        <c:scaling>
          <c:orientation val="maxMin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Mercury Saturation, fraction pore space</a:t>
                </a:r>
              </a:p>
            </c:rich>
          </c:tx>
          <c:layout>
            <c:manualLayout>
              <c:xMode val="edge"/>
              <c:yMode val="edge"/>
              <c:x val="0.28169014084507044"/>
              <c:y val="0.9364548494983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/>
            </a:pPr>
            <a:endParaRPr lang="en-US"/>
          </a:p>
        </c:txPr>
        <c:crossAx val="48580480"/>
        <c:crossesAt val="1.0000000000000041E-3"/>
        <c:crossBetween val="midCat"/>
        <c:majorUnit val="0.2"/>
        <c:minorUnit val="0.1"/>
      </c:valAx>
      <c:valAx>
        <c:axId val="48580480"/>
        <c:scaling>
          <c:logBase val="10"/>
          <c:orientation val="minMax"/>
          <c:max val="100000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Injection Pressure, psi.</a:t>
                </a:r>
              </a:p>
            </c:rich>
          </c:tx>
          <c:layout>
            <c:manualLayout>
              <c:xMode val="edge"/>
              <c:yMode val="edge"/>
              <c:x val="1.7605633802816906E-2"/>
              <c:y val="0.3377926421404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/>
            </a:pPr>
            <a:endParaRPr lang="en-US"/>
          </a:p>
        </c:txPr>
        <c:crossAx val="46451328"/>
        <c:crosses val="max"/>
        <c:crossBetween val="midCat"/>
        <c:majorUnit val="10"/>
        <c:minorUnit val="10"/>
      </c:valAx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3175">
      <a:solidFill>
        <a:schemeClr val="dk1"/>
      </a:solidFill>
    </a:ln>
  </c:spPr>
  <c:txPr>
    <a:bodyPr/>
    <a:lstStyle/>
    <a:p>
      <a:pPr>
        <a:defRPr sz="575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4041119369915644"/>
          <c:y val="5.3511705685618735E-2"/>
          <c:w val="0.71747821581027194"/>
          <c:h val="0.81040704360115523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660066"/>
              </a:solidFill>
            </a:ln>
          </c:spPr>
          <c:marker>
            <c:symbol val="circle"/>
            <c:size val="5"/>
            <c:spPr>
              <a:solidFill>
                <a:srgbClr val="660066"/>
              </a:solidFill>
              <a:ln>
                <a:solidFill>
                  <a:srgbClr val="660066"/>
                </a:solidFill>
              </a:ln>
            </c:spPr>
          </c:marker>
          <c:xVal>
            <c:numRef>
              <c:f>Table!$C$18:$C$136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0.99994045846978263</c:v>
                </c:pt>
                <c:pt idx="39">
                  <c:v>0.99988091693956538</c:v>
                </c:pt>
                <c:pt idx="40">
                  <c:v>0.99976183387913065</c:v>
                </c:pt>
                <c:pt idx="41">
                  <c:v>0.99928550163739205</c:v>
                </c:pt>
                <c:pt idx="42">
                  <c:v>0.99738017267043766</c:v>
                </c:pt>
                <c:pt idx="43">
                  <c:v>0.99481988687109257</c:v>
                </c:pt>
                <c:pt idx="44">
                  <c:v>0.99196189342066088</c:v>
                </c:pt>
                <c:pt idx="45">
                  <c:v>0.98303066388806193</c:v>
                </c:pt>
                <c:pt idx="46">
                  <c:v>0.97225364691872584</c:v>
                </c:pt>
                <c:pt idx="47">
                  <c:v>0.94730574575766602</c:v>
                </c:pt>
                <c:pt idx="48">
                  <c:v>0.89854123250967555</c:v>
                </c:pt>
                <c:pt idx="49">
                  <c:v>0.83661804108365589</c:v>
                </c:pt>
                <c:pt idx="50">
                  <c:v>0.75963084251265256</c:v>
                </c:pt>
                <c:pt idx="51">
                  <c:v>0.67127121167013992</c:v>
                </c:pt>
                <c:pt idx="52">
                  <c:v>0.62173265852932413</c:v>
                </c:pt>
                <c:pt idx="53">
                  <c:v>0.58886573384935992</c:v>
                </c:pt>
                <c:pt idx="54">
                  <c:v>0.56141708841917237</c:v>
                </c:pt>
                <c:pt idx="55">
                  <c:v>0.53599285501637395</c:v>
                </c:pt>
                <c:pt idx="56">
                  <c:v>0.51211670139922594</c:v>
                </c:pt>
                <c:pt idx="57">
                  <c:v>0.49020541827924979</c:v>
                </c:pt>
                <c:pt idx="58">
                  <c:v>0.47013992259601067</c:v>
                </c:pt>
                <c:pt idx="59">
                  <c:v>0.45061030068472763</c:v>
                </c:pt>
                <c:pt idx="60">
                  <c:v>0.43256921702887763</c:v>
                </c:pt>
                <c:pt idx="61">
                  <c:v>0.41482584102411435</c:v>
                </c:pt>
                <c:pt idx="62">
                  <c:v>0.39761833879130692</c:v>
                </c:pt>
                <c:pt idx="63">
                  <c:v>0.38082762727002084</c:v>
                </c:pt>
                <c:pt idx="64">
                  <c:v>0.36516820482286394</c:v>
                </c:pt>
                <c:pt idx="65">
                  <c:v>0.34974694849657628</c:v>
                </c:pt>
                <c:pt idx="66">
                  <c:v>0.33426615064007137</c:v>
                </c:pt>
                <c:pt idx="67">
                  <c:v>0.3196784757368264</c:v>
                </c:pt>
                <c:pt idx="68">
                  <c:v>0.30526942542423341</c:v>
                </c:pt>
                <c:pt idx="69">
                  <c:v>0.29139624888359639</c:v>
                </c:pt>
                <c:pt idx="70">
                  <c:v>0.2777612384638285</c:v>
                </c:pt>
                <c:pt idx="71">
                  <c:v>0.26460256028579932</c:v>
                </c:pt>
                <c:pt idx="72">
                  <c:v>0.25186067281929148</c:v>
                </c:pt>
                <c:pt idx="73">
                  <c:v>0.23995236677582621</c:v>
                </c:pt>
                <c:pt idx="74">
                  <c:v>0.22780589461149159</c:v>
                </c:pt>
                <c:pt idx="75">
                  <c:v>0.21589758856802621</c:v>
                </c:pt>
                <c:pt idx="76">
                  <c:v>0.20458469782673405</c:v>
                </c:pt>
                <c:pt idx="77">
                  <c:v>0.19368859779696335</c:v>
                </c:pt>
                <c:pt idx="78">
                  <c:v>0.18326883000893124</c:v>
                </c:pt>
                <c:pt idx="79">
                  <c:v>0.17284906222089913</c:v>
                </c:pt>
                <c:pt idx="80">
                  <c:v>0.16314379279547486</c:v>
                </c:pt>
                <c:pt idx="81">
                  <c:v>0.15403393867222381</c:v>
                </c:pt>
                <c:pt idx="82">
                  <c:v>0.14462637689788627</c:v>
                </c:pt>
                <c:pt idx="83">
                  <c:v>0.13587377195593919</c:v>
                </c:pt>
                <c:pt idx="84">
                  <c:v>0.12759749925573083</c:v>
                </c:pt>
                <c:pt idx="85">
                  <c:v>0.11914260196487048</c:v>
                </c:pt>
                <c:pt idx="86">
                  <c:v>0.11122357844596609</c:v>
                </c:pt>
                <c:pt idx="87">
                  <c:v>0.10348317951771357</c:v>
                </c:pt>
                <c:pt idx="88">
                  <c:v>9.6040488240547783E-2</c:v>
                </c:pt>
                <c:pt idx="89">
                  <c:v>8.8597796963381992E-2</c:v>
                </c:pt>
                <c:pt idx="90">
                  <c:v>8.1512354867520065E-2</c:v>
                </c:pt>
                <c:pt idx="91">
                  <c:v>7.5260494194700822E-2</c:v>
                </c:pt>
                <c:pt idx="92">
                  <c:v>6.8710925870794859E-2</c:v>
                </c:pt>
                <c:pt idx="93">
                  <c:v>6.2578148258410238E-2</c:v>
                </c:pt>
                <c:pt idx="94">
                  <c:v>5.6862161357546848E-2</c:v>
                </c:pt>
                <c:pt idx="95">
                  <c:v>5.1443882107770178E-2</c:v>
                </c:pt>
                <c:pt idx="96">
                  <c:v>4.6621018160166727E-2</c:v>
                </c:pt>
                <c:pt idx="97">
                  <c:v>4.1321821970824568E-2</c:v>
                </c:pt>
                <c:pt idx="98">
                  <c:v>3.7034831795177192E-2</c:v>
                </c:pt>
                <c:pt idx="99">
                  <c:v>3.2747841619529594E-2</c:v>
                </c:pt>
                <c:pt idx="100">
                  <c:v>2.9056266746055326E-2</c:v>
                </c:pt>
                <c:pt idx="101">
                  <c:v>2.5424233402798424E-2</c:v>
                </c:pt>
                <c:pt idx="102">
                  <c:v>2.197082465019351E-2</c:v>
                </c:pt>
                <c:pt idx="103">
                  <c:v>1.8815123548675206E-2</c:v>
                </c:pt>
                <c:pt idx="104">
                  <c:v>1.6135754688895498E-2</c:v>
                </c:pt>
                <c:pt idx="105">
                  <c:v>1.3635010419767779E-2</c:v>
                </c:pt>
                <c:pt idx="106">
                  <c:v>1.1074724620422693E-2</c:v>
                </c:pt>
                <c:pt idx="107">
                  <c:v>8.9907710628162052E-3</c:v>
                </c:pt>
                <c:pt idx="108">
                  <c:v>6.8472759749925727E-3</c:v>
                </c:pt>
                <c:pt idx="109">
                  <c:v>4.882405477820817E-3</c:v>
                </c:pt>
                <c:pt idx="110">
                  <c:v>4.465614766299586E-3</c:v>
                </c:pt>
                <c:pt idx="111">
                  <c:v>2.6793688597797072E-3</c:v>
                </c:pt>
                <c:pt idx="112">
                  <c:v>2.1434950878237435E-3</c:v>
                </c:pt>
                <c:pt idx="113">
                  <c:v>1.3694551949985367E-3</c:v>
                </c:pt>
                <c:pt idx="114">
                  <c:v>8.931229532599394E-4</c:v>
                </c:pt>
                <c:pt idx="115">
                  <c:v>5.3587377195585262E-4</c:v>
                </c:pt>
                <c:pt idx="116">
                  <c:v>1.1908306043462158E-4</c:v>
                </c:pt>
                <c:pt idx="117">
                  <c:v>1.1908306043462158E-4</c:v>
                </c:pt>
                <c:pt idx="118">
                  <c:v>0</c:v>
                </c:pt>
              </c:numCache>
            </c:numRef>
          </c:xVal>
          <c:yVal>
            <c:numRef>
              <c:f>Table!$L$18:$L$136</c:f>
              <c:numCache>
                <c:formatCode>????0.00</c:formatCode>
                <c:ptCount val="119"/>
                <c:pt idx="0">
                  <c:v>0.33859138435229819</c:v>
                </c:pt>
                <c:pt idx="1">
                  <c:v>0.35903389372692268</c:v>
                </c:pt>
                <c:pt idx="2">
                  <c:v>0.40570204608098392</c:v>
                </c:pt>
                <c:pt idx="3">
                  <c:v>0.4511989301918693</c:v>
                </c:pt>
                <c:pt idx="4">
                  <c:v>0.48608113896920169</c:v>
                </c:pt>
                <c:pt idx="5">
                  <c:v>0.5294551094269373</c:v>
                </c:pt>
                <c:pt idx="6">
                  <c:v>0.57848413362880602</c:v>
                </c:pt>
                <c:pt idx="7">
                  <c:v>0.63135646372738341</c:v>
                </c:pt>
                <c:pt idx="8">
                  <c:v>0.691768829795537</c:v>
                </c:pt>
                <c:pt idx="9">
                  <c:v>0.76039854276213303</c:v>
                </c:pt>
                <c:pt idx="10">
                  <c:v>0.82899163853971991</c:v>
                </c:pt>
                <c:pt idx="11">
                  <c:v>0.90686344435799537</c:v>
                </c:pt>
                <c:pt idx="12">
                  <c:v>0.99236682911837004</c:v>
                </c:pt>
                <c:pt idx="13">
                  <c:v>1.0823724150420109</c:v>
                </c:pt>
                <c:pt idx="14">
                  <c:v>1.1815651680338173</c:v>
                </c:pt>
                <c:pt idx="15">
                  <c:v>1.2942276931908041</c:v>
                </c:pt>
                <c:pt idx="16">
                  <c:v>1.4157845549716872</c:v>
                </c:pt>
                <c:pt idx="17">
                  <c:v>1.5479378102585697</c:v>
                </c:pt>
                <c:pt idx="18">
                  <c:v>1.6935425291161279</c:v>
                </c:pt>
                <c:pt idx="19">
                  <c:v>1.8523790084103071</c:v>
                </c:pt>
                <c:pt idx="20">
                  <c:v>2.0267350729795535</c:v>
                </c:pt>
                <c:pt idx="21">
                  <c:v>2.2179099906268687</c:v>
                </c:pt>
                <c:pt idx="22">
                  <c:v>2.4210353882988946</c:v>
                </c:pt>
                <c:pt idx="23">
                  <c:v>2.6682487380804338</c:v>
                </c:pt>
                <c:pt idx="24">
                  <c:v>2.8929515103168595</c:v>
                </c:pt>
                <c:pt idx="25">
                  <c:v>3.1849660979189625</c:v>
                </c:pt>
                <c:pt idx="26">
                  <c:v>3.475498438840821</c:v>
                </c:pt>
                <c:pt idx="27">
                  <c:v>3.788559558834494</c:v>
                </c:pt>
                <c:pt idx="28">
                  <c:v>4.1477030899928362</c:v>
                </c:pt>
                <c:pt idx="29">
                  <c:v>4.550623220086309</c:v>
                </c:pt>
                <c:pt idx="30">
                  <c:v>4.9747183639362964</c:v>
                </c:pt>
                <c:pt idx="31">
                  <c:v>5.4576515488626498</c:v>
                </c:pt>
                <c:pt idx="32">
                  <c:v>5.9729050776832429</c:v>
                </c:pt>
                <c:pt idx="33">
                  <c:v>6.5115653415694377</c:v>
                </c:pt>
                <c:pt idx="34">
                  <c:v>7.3477361975788478</c:v>
                </c:pt>
                <c:pt idx="35">
                  <c:v>7.7702445965717697</c:v>
                </c:pt>
                <c:pt idx="36">
                  <c:v>8.1646309944056235</c:v>
                </c:pt>
                <c:pt idx="37">
                  <c:v>9.1632729604556911</c:v>
                </c:pt>
                <c:pt idx="38">
                  <c:v>10.710142341096942</c:v>
                </c:pt>
                <c:pt idx="39">
                  <c:v>11.681697009246962</c:v>
                </c:pt>
                <c:pt idx="40">
                  <c:v>12.37900392121063</c:v>
                </c:pt>
                <c:pt idx="41">
                  <c:v>13.232621261765864</c:v>
                </c:pt>
                <c:pt idx="42">
                  <c:v>14.685094527039906</c:v>
                </c:pt>
                <c:pt idx="43">
                  <c:v>16.274391880555587</c:v>
                </c:pt>
                <c:pt idx="44">
                  <c:v>17.514569390734685</c:v>
                </c:pt>
                <c:pt idx="45">
                  <c:v>19.533371381835735</c:v>
                </c:pt>
                <c:pt idx="46">
                  <c:v>21.009577724842337</c:v>
                </c:pt>
                <c:pt idx="47">
                  <c:v>22.692352980237089</c:v>
                </c:pt>
                <c:pt idx="48">
                  <c:v>25.118192500906872</c:v>
                </c:pt>
                <c:pt idx="49">
                  <c:v>27.22439950803728</c:v>
                </c:pt>
                <c:pt idx="50">
                  <c:v>29.65499283921001</c:v>
                </c:pt>
                <c:pt idx="51">
                  <c:v>32.735092018789999</c:v>
                </c:pt>
                <c:pt idx="52">
                  <c:v>35.722626370724456</c:v>
                </c:pt>
                <c:pt idx="53">
                  <c:v>38.932601366329877</c:v>
                </c:pt>
                <c:pt idx="54">
                  <c:v>42.741117935581208</c:v>
                </c:pt>
                <c:pt idx="55">
                  <c:v>46.542305927776106</c:v>
                </c:pt>
                <c:pt idx="56">
                  <c:v>51.022101654080636</c:v>
                </c:pt>
                <c:pt idx="57">
                  <c:v>56.001035491600767</c:v>
                </c:pt>
                <c:pt idx="58">
                  <c:v>61.162173035460953</c:v>
                </c:pt>
                <c:pt idx="59">
                  <c:v>66.962294660481874</c:v>
                </c:pt>
                <c:pt idx="60">
                  <c:v>73.28361892979153</c:v>
                </c:pt>
                <c:pt idx="61">
                  <c:v>80.105650496053983</c:v>
                </c:pt>
                <c:pt idx="62">
                  <c:v>87.783518704315469</c:v>
                </c:pt>
                <c:pt idx="63">
                  <c:v>96.276911241510987</c:v>
                </c:pt>
                <c:pt idx="64">
                  <c:v>105.17305688302557</c:v>
                </c:pt>
                <c:pt idx="65">
                  <c:v>115.10365224700024</c:v>
                </c:pt>
                <c:pt idx="66">
                  <c:v>126.08020926373409</c:v>
                </c:pt>
                <c:pt idx="67">
                  <c:v>137.64035262323429</c:v>
                </c:pt>
                <c:pt idx="68">
                  <c:v>150.84309768493839</c:v>
                </c:pt>
                <c:pt idx="69">
                  <c:v>165.06226396397355</c:v>
                </c:pt>
                <c:pt idx="70">
                  <c:v>180.81847850811363</c:v>
                </c:pt>
                <c:pt idx="71">
                  <c:v>198.09800922907331</c:v>
                </c:pt>
                <c:pt idx="72">
                  <c:v>216.33715527320993</c:v>
                </c:pt>
                <c:pt idx="73">
                  <c:v>235.64348466542484</c:v>
                </c:pt>
                <c:pt idx="74">
                  <c:v>257.72777988558579</c:v>
                </c:pt>
                <c:pt idx="75">
                  <c:v>282.44192076384525</c:v>
                </c:pt>
                <c:pt idx="76">
                  <c:v>309.34390399543599</c:v>
                </c:pt>
                <c:pt idx="77">
                  <c:v>338.82439515786319</c:v>
                </c:pt>
                <c:pt idx="78">
                  <c:v>370.00199153058855</c:v>
                </c:pt>
                <c:pt idx="79">
                  <c:v>406.48280527978443</c:v>
                </c:pt>
                <c:pt idx="80">
                  <c:v>444.12391196569149</c:v>
                </c:pt>
                <c:pt idx="81">
                  <c:v>484.53133550245633</c:v>
                </c:pt>
                <c:pt idx="82">
                  <c:v>531.54244080847241</c:v>
                </c:pt>
                <c:pt idx="83">
                  <c:v>581.05475965617427</c:v>
                </c:pt>
                <c:pt idx="84">
                  <c:v>635.08540150881538</c:v>
                </c:pt>
                <c:pt idx="85">
                  <c:v>695.54463415273108</c:v>
                </c:pt>
                <c:pt idx="86">
                  <c:v>760.81470246861284</c:v>
                </c:pt>
                <c:pt idx="87">
                  <c:v>832.47356318816401</c:v>
                </c:pt>
                <c:pt idx="88">
                  <c:v>911.14768459451477</c:v>
                </c:pt>
                <c:pt idx="89">
                  <c:v>996.10792295001067</c:v>
                </c:pt>
                <c:pt idx="90">
                  <c:v>1088.1826438677406</c:v>
                </c:pt>
                <c:pt idx="91">
                  <c:v>1191.4310636085754</c:v>
                </c:pt>
                <c:pt idx="92">
                  <c:v>1303.7060427155982</c:v>
                </c:pt>
                <c:pt idx="93">
                  <c:v>1427.167328950339</c:v>
                </c:pt>
                <c:pt idx="94">
                  <c:v>1559.7829021588711</c:v>
                </c:pt>
                <c:pt idx="95">
                  <c:v>1707.7428917191323</c:v>
                </c:pt>
                <c:pt idx="96">
                  <c:v>1867.3388115133623</c:v>
                </c:pt>
                <c:pt idx="97">
                  <c:v>2042.3350627493451</c:v>
                </c:pt>
                <c:pt idx="98">
                  <c:v>2235.642080681539</c:v>
                </c:pt>
                <c:pt idx="99">
                  <c:v>2446.4579771365434</c:v>
                </c:pt>
                <c:pt idx="100">
                  <c:v>2671.101565717021</c:v>
                </c:pt>
                <c:pt idx="101">
                  <c:v>2918.1219347753286</c:v>
                </c:pt>
                <c:pt idx="102">
                  <c:v>3209.8906021925877</c:v>
                </c:pt>
                <c:pt idx="103">
                  <c:v>3501.6972041611184</c:v>
                </c:pt>
                <c:pt idx="104">
                  <c:v>3838.4735721000679</c:v>
                </c:pt>
                <c:pt idx="105">
                  <c:v>4197.5681741284689</c:v>
                </c:pt>
                <c:pt idx="106">
                  <c:v>4578.8419899832825</c:v>
                </c:pt>
                <c:pt idx="107">
                  <c:v>5005.8600506240618</c:v>
                </c:pt>
                <c:pt idx="108">
                  <c:v>5477.5365069300287</c:v>
                </c:pt>
                <c:pt idx="109">
                  <c:v>5994.1989555462651</c:v>
                </c:pt>
                <c:pt idx="110">
                  <c:v>6577.8459278122027</c:v>
                </c:pt>
                <c:pt idx="111">
                  <c:v>7182.9243866222732</c:v>
                </c:pt>
                <c:pt idx="112">
                  <c:v>7855.7526383533532</c:v>
                </c:pt>
                <c:pt idx="113">
                  <c:v>8595.6263721460036</c:v>
                </c:pt>
                <c:pt idx="114">
                  <c:v>9403.1709599090427</c:v>
                </c:pt>
                <c:pt idx="115">
                  <c:v>10278.167126779628</c:v>
                </c:pt>
                <c:pt idx="116">
                  <c:v>11243.183518740578</c:v>
                </c:pt>
                <c:pt idx="117">
                  <c:v>12296.461551391923</c:v>
                </c:pt>
                <c:pt idx="118">
                  <c:v>13345.614585323547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053056"/>
        <c:axId val="49352704"/>
      </c:scatterChart>
      <c:scatterChart>
        <c:scatterStyle val="lineMarker"/>
        <c:varyColors val="0"/>
        <c:ser>
          <c:idx val="1"/>
          <c:order val="1"/>
          <c:spPr>
            <a:ln>
              <a:noFill/>
            </a:ln>
          </c:spPr>
          <c:marker>
            <c:symbol val="none"/>
          </c:marker>
          <c:xVal>
            <c:numRef>
              <c:f>Table!$C$18:$C$136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0.99994045846978263</c:v>
                </c:pt>
                <c:pt idx="39">
                  <c:v>0.99988091693956538</c:v>
                </c:pt>
                <c:pt idx="40">
                  <c:v>0.99976183387913065</c:v>
                </c:pt>
                <c:pt idx="41">
                  <c:v>0.99928550163739205</c:v>
                </c:pt>
                <c:pt idx="42">
                  <c:v>0.99738017267043766</c:v>
                </c:pt>
                <c:pt idx="43">
                  <c:v>0.99481988687109257</c:v>
                </c:pt>
                <c:pt idx="44">
                  <c:v>0.99196189342066088</c:v>
                </c:pt>
                <c:pt idx="45">
                  <c:v>0.98303066388806193</c:v>
                </c:pt>
                <c:pt idx="46">
                  <c:v>0.97225364691872584</c:v>
                </c:pt>
                <c:pt idx="47">
                  <c:v>0.94730574575766602</c:v>
                </c:pt>
                <c:pt idx="48">
                  <c:v>0.89854123250967555</c:v>
                </c:pt>
                <c:pt idx="49">
                  <c:v>0.83661804108365589</c:v>
                </c:pt>
                <c:pt idx="50">
                  <c:v>0.75963084251265256</c:v>
                </c:pt>
                <c:pt idx="51">
                  <c:v>0.67127121167013992</c:v>
                </c:pt>
                <c:pt idx="52">
                  <c:v>0.62173265852932413</c:v>
                </c:pt>
                <c:pt idx="53">
                  <c:v>0.58886573384935992</c:v>
                </c:pt>
                <c:pt idx="54">
                  <c:v>0.56141708841917237</c:v>
                </c:pt>
                <c:pt idx="55">
                  <c:v>0.53599285501637395</c:v>
                </c:pt>
                <c:pt idx="56">
                  <c:v>0.51211670139922594</c:v>
                </c:pt>
                <c:pt idx="57">
                  <c:v>0.49020541827924979</c:v>
                </c:pt>
                <c:pt idx="58">
                  <c:v>0.47013992259601067</c:v>
                </c:pt>
                <c:pt idx="59">
                  <c:v>0.45061030068472763</c:v>
                </c:pt>
                <c:pt idx="60">
                  <c:v>0.43256921702887763</c:v>
                </c:pt>
                <c:pt idx="61">
                  <c:v>0.41482584102411435</c:v>
                </c:pt>
                <c:pt idx="62">
                  <c:v>0.39761833879130692</c:v>
                </c:pt>
                <c:pt idx="63">
                  <c:v>0.38082762727002084</c:v>
                </c:pt>
                <c:pt idx="64">
                  <c:v>0.36516820482286394</c:v>
                </c:pt>
                <c:pt idx="65">
                  <c:v>0.34974694849657628</c:v>
                </c:pt>
                <c:pt idx="66">
                  <c:v>0.33426615064007137</c:v>
                </c:pt>
                <c:pt idx="67">
                  <c:v>0.3196784757368264</c:v>
                </c:pt>
                <c:pt idx="68">
                  <c:v>0.30526942542423341</c:v>
                </c:pt>
                <c:pt idx="69">
                  <c:v>0.29139624888359639</c:v>
                </c:pt>
                <c:pt idx="70">
                  <c:v>0.2777612384638285</c:v>
                </c:pt>
                <c:pt idx="71">
                  <c:v>0.26460256028579932</c:v>
                </c:pt>
                <c:pt idx="72">
                  <c:v>0.25186067281929148</c:v>
                </c:pt>
                <c:pt idx="73">
                  <c:v>0.23995236677582621</c:v>
                </c:pt>
                <c:pt idx="74">
                  <c:v>0.22780589461149159</c:v>
                </c:pt>
                <c:pt idx="75">
                  <c:v>0.21589758856802621</c:v>
                </c:pt>
                <c:pt idx="76">
                  <c:v>0.20458469782673405</c:v>
                </c:pt>
                <c:pt idx="77">
                  <c:v>0.19368859779696335</c:v>
                </c:pt>
                <c:pt idx="78">
                  <c:v>0.18326883000893124</c:v>
                </c:pt>
                <c:pt idx="79">
                  <c:v>0.17284906222089913</c:v>
                </c:pt>
                <c:pt idx="80">
                  <c:v>0.16314379279547486</c:v>
                </c:pt>
                <c:pt idx="81">
                  <c:v>0.15403393867222381</c:v>
                </c:pt>
                <c:pt idx="82">
                  <c:v>0.14462637689788627</c:v>
                </c:pt>
                <c:pt idx="83">
                  <c:v>0.13587377195593919</c:v>
                </c:pt>
                <c:pt idx="84">
                  <c:v>0.12759749925573083</c:v>
                </c:pt>
                <c:pt idx="85">
                  <c:v>0.11914260196487048</c:v>
                </c:pt>
                <c:pt idx="86">
                  <c:v>0.11122357844596609</c:v>
                </c:pt>
                <c:pt idx="87">
                  <c:v>0.10348317951771357</c:v>
                </c:pt>
                <c:pt idx="88">
                  <c:v>9.6040488240547783E-2</c:v>
                </c:pt>
                <c:pt idx="89">
                  <c:v>8.8597796963381992E-2</c:v>
                </c:pt>
                <c:pt idx="90">
                  <c:v>8.1512354867520065E-2</c:v>
                </c:pt>
                <c:pt idx="91">
                  <c:v>7.5260494194700822E-2</c:v>
                </c:pt>
                <c:pt idx="92">
                  <c:v>6.8710925870794859E-2</c:v>
                </c:pt>
                <c:pt idx="93">
                  <c:v>6.2578148258410238E-2</c:v>
                </c:pt>
                <c:pt idx="94">
                  <c:v>5.6862161357546848E-2</c:v>
                </c:pt>
                <c:pt idx="95">
                  <c:v>5.1443882107770178E-2</c:v>
                </c:pt>
                <c:pt idx="96">
                  <c:v>4.6621018160166727E-2</c:v>
                </c:pt>
                <c:pt idx="97">
                  <c:v>4.1321821970824568E-2</c:v>
                </c:pt>
                <c:pt idx="98">
                  <c:v>3.7034831795177192E-2</c:v>
                </c:pt>
                <c:pt idx="99">
                  <c:v>3.2747841619529594E-2</c:v>
                </c:pt>
                <c:pt idx="100">
                  <c:v>2.9056266746055326E-2</c:v>
                </c:pt>
                <c:pt idx="101">
                  <c:v>2.5424233402798424E-2</c:v>
                </c:pt>
                <c:pt idx="102">
                  <c:v>2.197082465019351E-2</c:v>
                </c:pt>
                <c:pt idx="103">
                  <c:v>1.8815123548675206E-2</c:v>
                </c:pt>
                <c:pt idx="104">
                  <c:v>1.6135754688895498E-2</c:v>
                </c:pt>
                <c:pt idx="105">
                  <c:v>1.3635010419767779E-2</c:v>
                </c:pt>
                <c:pt idx="106">
                  <c:v>1.1074724620422693E-2</c:v>
                </c:pt>
                <c:pt idx="107">
                  <c:v>8.9907710628162052E-3</c:v>
                </c:pt>
                <c:pt idx="108">
                  <c:v>6.8472759749925727E-3</c:v>
                </c:pt>
                <c:pt idx="109">
                  <c:v>4.882405477820817E-3</c:v>
                </c:pt>
                <c:pt idx="110">
                  <c:v>4.465614766299586E-3</c:v>
                </c:pt>
                <c:pt idx="111">
                  <c:v>2.6793688597797072E-3</c:v>
                </c:pt>
                <c:pt idx="112">
                  <c:v>2.1434950878237435E-3</c:v>
                </c:pt>
                <c:pt idx="113">
                  <c:v>1.3694551949985367E-3</c:v>
                </c:pt>
                <c:pt idx="114">
                  <c:v>8.931229532599394E-4</c:v>
                </c:pt>
                <c:pt idx="115">
                  <c:v>5.3587377195585262E-4</c:v>
                </c:pt>
                <c:pt idx="116">
                  <c:v>1.1908306043462158E-4</c:v>
                </c:pt>
                <c:pt idx="117">
                  <c:v>1.1908306043462158E-4</c:v>
                </c:pt>
                <c:pt idx="118">
                  <c:v>0</c:v>
                </c:pt>
              </c:numCache>
            </c:numRef>
          </c:xVal>
          <c:yVal>
            <c:numRef>
              <c:f>Table!$O$18:$O$136</c:f>
              <c:numCache>
                <c:formatCode>????0.00</c:formatCode>
                <c:ptCount val="119"/>
                <c:pt idx="0">
                  <c:v>0.72627924571492541</c:v>
                </c:pt>
                <c:pt idx="1">
                  <c:v>0.77012847217272151</c:v>
                </c:pt>
                <c:pt idx="2">
                  <c:v>0.87023175907546968</c:v>
                </c:pt>
                <c:pt idx="3">
                  <c:v>0.96782267308423287</c:v>
                </c:pt>
                <c:pt idx="4">
                  <c:v>1.0426450857340235</c:v>
                </c:pt>
                <c:pt idx="5">
                  <c:v>1.135682345403126</c:v>
                </c:pt>
                <c:pt idx="6">
                  <c:v>1.2408497074834965</c:v>
                </c:pt>
                <c:pt idx="7">
                  <c:v>1.3542609689562066</c:v>
                </c:pt>
                <c:pt idx="8">
                  <c:v>1.4838456237570508</c:v>
                </c:pt>
                <c:pt idx="9">
                  <c:v>1.6310565052812807</c:v>
                </c:pt>
                <c:pt idx="10">
                  <c:v>1.7781888428565422</c:v>
                </c:pt>
                <c:pt idx="11">
                  <c:v>1.9452240333719337</c:v>
                </c:pt>
                <c:pt idx="12">
                  <c:v>2.1286289770878812</c:v>
                </c:pt>
                <c:pt idx="13">
                  <c:v>2.3216911519562657</c:v>
                </c:pt>
                <c:pt idx="14">
                  <c:v>2.534459819892358</c:v>
                </c:pt>
                <c:pt idx="15">
                  <c:v>2.7761211780154533</c:v>
                </c:pt>
                <c:pt idx="16">
                  <c:v>3.0368609072751767</c:v>
                </c:pt>
                <c:pt idx="17">
                  <c:v>3.320329923334556</c:v>
                </c:pt>
                <c:pt idx="18">
                  <c:v>3.6326523576064522</c:v>
                </c:pt>
                <c:pt idx="19">
                  <c:v>3.9733569463970557</c:v>
                </c:pt>
                <c:pt idx="20">
                  <c:v>4.3473510788922214</c:v>
                </c:pt>
                <c:pt idx="21">
                  <c:v>4.7574216873163211</c:v>
                </c:pt>
                <c:pt idx="22">
                  <c:v>5.1931261010272305</c:v>
                </c:pt>
                <c:pt idx="23">
                  <c:v>5.7233992665817981</c:v>
                </c:pt>
                <c:pt idx="24">
                  <c:v>6.2053871950168595</c:v>
                </c:pt>
                <c:pt idx="25">
                  <c:v>6.8317591117952867</c:v>
                </c:pt>
                <c:pt idx="26">
                  <c:v>7.4549516062651682</c:v>
                </c:pt>
                <c:pt idx="27">
                  <c:v>8.1264683801683706</c:v>
                </c:pt>
                <c:pt idx="28">
                  <c:v>8.8968320248666597</c:v>
                </c:pt>
                <c:pt idx="29">
                  <c:v>9.761096568181701</c:v>
                </c:pt>
                <c:pt idx="30">
                  <c:v>10.670781561424919</c:v>
                </c:pt>
                <c:pt idx="31">
                  <c:v>11.706674278984664</c:v>
                </c:pt>
                <c:pt idx="32">
                  <c:v>12.81189420352476</c:v>
                </c:pt>
                <c:pt idx="33">
                  <c:v>13.967321624988072</c:v>
                </c:pt>
                <c:pt idx="34">
                  <c:v>15.760909904716536</c:v>
                </c:pt>
                <c:pt idx="35">
                  <c:v>16.667191326837777</c:v>
                </c:pt>
                <c:pt idx="36">
                  <c:v>17.513150996151062</c:v>
                </c:pt>
                <c:pt idx="37">
                  <c:v>19.655240155417616</c:v>
                </c:pt>
                <c:pt idx="38">
                  <c:v>22.973278294931237</c:v>
                </c:pt>
                <c:pt idx="39">
                  <c:v>25.057265142099883</c:v>
                </c:pt>
                <c:pt idx="40">
                  <c:v>26.552989963986771</c:v>
                </c:pt>
                <c:pt idx="41">
                  <c:v>28.384000990488772</c:v>
                </c:pt>
                <c:pt idx="42">
                  <c:v>31.499559260059865</c:v>
                </c:pt>
                <c:pt idx="43">
                  <c:v>34.908605492397236</c:v>
                </c:pt>
                <c:pt idx="44">
                  <c:v>37.568788911914815</c:v>
                </c:pt>
                <c:pt idx="45">
                  <c:v>41.899123513161172</c:v>
                </c:pt>
                <c:pt idx="46">
                  <c:v>45.065589285376106</c:v>
                </c:pt>
                <c:pt idx="47">
                  <c:v>48.675145817754384</c:v>
                </c:pt>
                <c:pt idx="48">
                  <c:v>53.878576793022042</c:v>
                </c:pt>
                <c:pt idx="49">
                  <c:v>58.396395341135317</c:v>
                </c:pt>
                <c:pt idx="50">
                  <c:v>63.610023250128734</c:v>
                </c:pt>
                <c:pt idx="51">
                  <c:v>70.216842597147149</c:v>
                </c:pt>
                <c:pt idx="52">
                  <c:v>76.62511019031416</c:v>
                </c:pt>
                <c:pt idx="53">
                  <c:v>83.510513441291039</c:v>
                </c:pt>
                <c:pt idx="54">
                  <c:v>91.679789651611358</c:v>
                </c:pt>
                <c:pt idx="55">
                  <c:v>99.83334604842581</c:v>
                </c:pt>
                <c:pt idx="56">
                  <c:v>109.44251749052047</c:v>
                </c:pt>
                <c:pt idx="57">
                  <c:v>120.12234125182492</c:v>
                </c:pt>
                <c:pt idx="58">
                  <c:v>131.19299235405612</c:v>
                </c:pt>
                <c:pt idx="59">
                  <c:v>143.63426568099931</c:v>
                </c:pt>
                <c:pt idx="60">
                  <c:v>157.19351979792265</c:v>
                </c:pt>
                <c:pt idx="61">
                  <c:v>171.82679214082793</c:v>
                </c:pt>
                <c:pt idx="62">
                  <c:v>188.29583591659264</c:v>
                </c:pt>
                <c:pt idx="63">
                  <c:v>206.51418112722223</c:v>
                </c:pt>
                <c:pt idx="64">
                  <c:v>225.5964326105225</c:v>
                </c:pt>
                <c:pt idx="65">
                  <c:v>246.89758096739652</c:v>
                </c:pt>
                <c:pt idx="66">
                  <c:v>270.44231931302897</c:v>
                </c:pt>
                <c:pt idx="67">
                  <c:v>295.23885161568921</c:v>
                </c:pt>
                <c:pt idx="68">
                  <c:v>323.55876809296097</c:v>
                </c:pt>
                <c:pt idx="69">
                  <c:v>354.05891026163357</c:v>
                </c:pt>
                <c:pt idx="70">
                  <c:v>387.85602425592811</c:v>
                </c:pt>
                <c:pt idx="71">
                  <c:v>424.92065471701699</c:v>
                </c:pt>
                <c:pt idx="72">
                  <c:v>464.04366210469749</c:v>
                </c:pt>
                <c:pt idx="73">
                  <c:v>505.45578006311638</c:v>
                </c:pt>
                <c:pt idx="74">
                  <c:v>552.82664068122233</c:v>
                </c:pt>
                <c:pt idx="75">
                  <c:v>605.83852587697402</c:v>
                </c:pt>
                <c:pt idx="76">
                  <c:v>663.54333761354792</c:v>
                </c:pt>
                <c:pt idx="77">
                  <c:v>726.77905439267113</c:v>
                </c:pt>
                <c:pt idx="78">
                  <c:v>793.65506548817814</c:v>
                </c:pt>
                <c:pt idx="79">
                  <c:v>871.90648923162701</c:v>
                </c:pt>
                <c:pt idx="80">
                  <c:v>952.64674381315217</c:v>
                </c:pt>
                <c:pt idx="81">
                  <c:v>1039.3207539735229</c:v>
                </c:pt>
                <c:pt idx="82">
                  <c:v>1140.1596756938493</c:v>
                </c:pt>
                <c:pt idx="83">
                  <c:v>1246.3637058261997</c:v>
                </c:pt>
                <c:pt idx="84">
                  <c:v>1362.2595484959577</c:v>
                </c:pt>
                <c:pt idx="85">
                  <c:v>1491.9447322023404</c:v>
                </c:pt>
                <c:pt idx="86">
                  <c:v>1631.9491687443435</c:v>
                </c:pt>
                <c:pt idx="87">
                  <c:v>1785.6575786961907</c:v>
                </c:pt>
                <c:pt idx="88">
                  <c:v>1954.4137378689722</c:v>
                </c:pt>
                <c:pt idx="89">
                  <c:v>2136.6536313814045</c:v>
                </c:pt>
                <c:pt idx="90">
                  <c:v>2334.154105250409</c:v>
                </c:pt>
                <c:pt idx="91">
                  <c:v>2555.6221870625818</c:v>
                </c:pt>
                <c:pt idx="92">
                  <c:v>2796.4522580772168</c:v>
                </c:pt>
                <c:pt idx="93">
                  <c:v>3061.2769818754591</c:v>
                </c:pt>
                <c:pt idx="94">
                  <c:v>3345.7376708684496</c:v>
                </c:pt>
                <c:pt idx="95">
                  <c:v>3663.112165849705</c:v>
                </c:pt>
                <c:pt idx="96">
                  <c:v>4005.445756141919</c:v>
                </c:pt>
                <c:pt idx="97">
                  <c:v>4380.8130904104364</c:v>
                </c:pt>
                <c:pt idx="98">
                  <c:v>4795.4570585189604</c:v>
                </c:pt>
                <c:pt idx="99">
                  <c:v>5247.6576086154955</c:v>
                </c:pt>
                <c:pt idx="100">
                  <c:v>5729.518587981599</c:v>
                </c:pt>
                <c:pt idx="101">
                  <c:v>6259.3778094708905</c:v>
                </c:pt>
                <c:pt idx="102">
                  <c:v>6885.222226925328</c:v>
                </c:pt>
                <c:pt idx="103">
                  <c:v>7511.1480140736139</c:v>
                </c:pt>
                <c:pt idx="104">
                  <c:v>8233.5340456886934</c:v>
                </c:pt>
                <c:pt idx="105">
                  <c:v>9003.7927372983049</c:v>
                </c:pt>
                <c:pt idx="106">
                  <c:v>9821.6258901400324</c:v>
                </c:pt>
                <c:pt idx="107">
                  <c:v>10737.58054616916</c:v>
                </c:pt>
                <c:pt idx="108">
                  <c:v>11749.327556692469</c:v>
                </c:pt>
                <c:pt idx="109">
                  <c:v>12857.569617216357</c:v>
                </c:pt>
                <c:pt idx="110">
                  <c:v>14109.4936246508</c:v>
                </c:pt>
                <c:pt idx="111">
                  <c:v>15407.388216692994</c:v>
                </c:pt>
                <c:pt idx="112">
                  <c:v>16850.606259874203</c:v>
                </c:pt>
                <c:pt idx="113">
                  <c:v>18437.637005890185</c:v>
                </c:pt>
                <c:pt idx="114">
                  <c:v>20169.82187882678</c:v>
                </c:pt>
                <c:pt idx="115">
                  <c:v>22046.690533632838</c:v>
                </c:pt>
                <c:pt idx="116">
                  <c:v>24116.652764351307</c:v>
                </c:pt>
                <c:pt idx="117">
                  <c:v>26375.93640367208</c:v>
                </c:pt>
                <c:pt idx="118">
                  <c:v>28626.371911890921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22496"/>
        <c:axId val="49355008"/>
      </c:scatterChart>
      <c:valAx>
        <c:axId val="49053056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Wetting Phase Saturation (1- Hg), fraction pore space</a:t>
                </a:r>
              </a:p>
            </c:rich>
          </c:tx>
          <c:layout>
            <c:manualLayout>
              <c:xMode val="edge"/>
              <c:yMode val="edge"/>
              <c:x val="0.20890446913314276"/>
              <c:y val="0.9364548494983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50"/>
            </a:pPr>
            <a:endParaRPr lang="en-US"/>
          </a:p>
        </c:txPr>
        <c:crossAx val="49352704"/>
        <c:crossesAt val="0"/>
        <c:crossBetween val="midCat"/>
        <c:majorUnit val="0.2"/>
        <c:minorUnit val="0.1"/>
      </c:valAx>
      <c:valAx>
        <c:axId val="49352704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50" b="0"/>
                  <a:t>Equivalent </a:t>
                </a:r>
                <a:r>
                  <a:rPr lang="en-US" sz="600" b="0"/>
                  <a:t>Gas-Water</a:t>
                </a:r>
                <a:r>
                  <a:rPr lang="en-US" sz="550" b="0"/>
                  <a:t> Capillary Pressure, psi.</a:t>
                </a:r>
              </a:p>
            </c:rich>
          </c:tx>
          <c:layout>
            <c:manualLayout>
              <c:xMode val="edge"/>
              <c:yMode val="edge"/>
              <c:x val="1.7123287671232879E-2"/>
              <c:y val="0.22742474916387959"/>
            </c:manualLayout>
          </c:layout>
          <c:overlay val="0"/>
          <c:spPr>
            <a:noFill/>
            <a:ln w="25400">
              <a:noFill/>
            </a:ln>
          </c:spPr>
        </c:title>
        <c:numFmt formatCode="????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50"/>
            </a:pPr>
            <a:endParaRPr lang="en-US"/>
          </a:p>
        </c:txPr>
        <c:crossAx val="49053056"/>
        <c:crossesAt val="0"/>
        <c:crossBetween val="midCat"/>
        <c:majorUnit val="40"/>
        <c:minorUnit val="20"/>
      </c:valAx>
      <c:valAx>
        <c:axId val="49355008"/>
        <c:scaling>
          <c:orientation val="minMax"/>
          <c:max val="429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1"/>
                  <a:t>Estimated Height Above Free Water, ft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49722496"/>
        <c:crosses val="max"/>
        <c:crossBetween val="midCat"/>
        <c:majorUnit val="85.8"/>
        <c:minorUnit val="42.9"/>
      </c:valAx>
      <c:valAx>
        <c:axId val="49722496"/>
        <c:scaling>
          <c:orientation val="minMax"/>
        </c:scaling>
        <c:delete val="1"/>
        <c:axPos val="b"/>
        <c:numFmt formatCode="0.000" sourceLinked="1"/>
        <c:majorTickMark val="out"/>
        <c:minorTickMark val="none"/>
        <c:tickLblPos val="none"/>
        <c:crossAx val="49355008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plotVisOnly val="1"/>
    <c:dispBlanksAs val="gap"/>
    <c:showDLblsOverMax val="0"/>
  </c:chart>
  <c:spPr>
    <a:solidFill>
      <a:schemeClr val="accent2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 sz="575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1199" r="0.75000000000001199" t="1" header="0.5" footer="0.5"/>
    <c:pageSetup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9031174022717789"/>
          <c:y val="7.0234113712374549E-2"/>
          <c:w val="0.73356525323931165"/>
          <c:h val="0.79152731326644366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FF00"/>
              </a:solidFill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</a:ln>
            </c:spPr>
          </c:marker>
          <c:xVal>
            <c:numRef>
              <c:f>Table!$C$18:$C$136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0.99994045846978263</c:v>
                </c:pt>
                <c:pt idx="39">
                  <c:v>0.99988091693956538</c:v>
                </c:pt>
                <c:pt idx="40">
                  <c:v>0.99976183387913065</c:v>
                </c:pt>
                <c:pt idx="41">
                  <c:v>0.99928550163739205</c:v>
                </c:pt>
                <c:pt idx="42">
                  <c:v>0.99738017267043766</c:v>
                </c:pt>
                <c:pt idx="43">
                  <c:v>0.99481988687109257</c:v>
                </c:pt>
                <c:pt idx="44">
                  <c:v>0.99196189342066088</c:v>
                </c:pt>
                <c:pt idx="45">
                  <c:v>0.98303066388806193</c:v>
                </c:pt>
                <c:pt idx="46">
                  <c:v>0.97225364691872584</c:v>
                </c:pt>
                <c:pt idx="47">
                  <c:v>0.94730574575766602</c:v>
                </c:pt>
                <c:pt idx="48">
                  <c:v>0.89854123250967555</c:v>
                </c:pt>
                <c:pt idx="49">
                  <c:v>0.83661804108365589</c:v>
                </c:pt>
                <c:pt idx="50">
                  <c:v>0.75963084251265256</c:v>
                </c:pt>
                <c:pt idx="51">
                  <c:v>0.67127121167013992</c:v>
                </c:pt>
                <c:pt idx="52">
                  <c:v>0.62173265852932413</c:v>
                </c:pt>
                <c:pt idx="53">
                  <c:v>0.58886573384935992</c:v>
                </c:pt>
                <c:pt idx="54">
                  <c:v>0.56141708841917237</c:v>
                </c:pt>
                <c:pt idx="55">
                  <c:v>0.53599285501637395</c:v>
                </c:pt>
                <c:pt idx="56">
                  <c:v>0.51211670139922594</c:v>
                </c:pt>
                <c:pt idx="57">
                  <c:v>0.49020541827924979</c:v>
                </c:pt>
                <c:pt idx="58">
                  <c:v>0.47013992259601067</c:v>
                </c:pt>
                <c:pt idx="59">
                  <c:v>0.45061030068472763</c:v>
                </c:pt>
                <c:pt idx="60">
                  <c:v>0.43256921702887763</c:v>
                </c:pt>
                <c:pt idx="61">
                  <c:v>0.41482584102411435</c:v>
                </c:pt>
                <c:pt idx="62">
                  <c:v>0.39761833879130692</c:v>
                </c:pt>
                <c:pt idx="63">
                  <c:v>0.38082762727002084</c:v>
                </c:pt>
                <c:pt idx="64">
                  <c:v>0.36516820482286394</c:v>
                </c:pt>
                <c:pt idx="65">
                  <c:v>0.34974694849657628</c:v>
                </c:pt>
                <c:pt idx="66">
                  <c:v>0.33426615064007137</c:v>
                </c:pt>
                <c:pt idx="67">
                  <c:v>0.3196784757368264</c:v>
                </c:pt>
                <c:pt idx="68">
                  <c:v>0.30526942542423341</c:v>
                </c:pt>
                <c:pt idx="69">
                  <c:v>0.29139624888359639</c:v>
                </c:pt>
                <c:pt idx="70">
                  <c:v>0.2777612384638285</c:v>
                </c:pt>
                <c:pt idx="71">
                  <c:v>0.26460256028579932</c:v>
                </c:pt>
                <c:pt idx="72">
                  <c:v>0.25186067281929148</c:v>
                </c:pt>
                <c:pt idx="73">
                  <c:v>0.23995236677582621</c:v>
                </c:pt>
                <c:pt idx="74">
                  <c:v>0.22780589461149159</c:v>
                </c:pt>
                <c:pt idx="75">
                  <c:v>0.21589758856802621</c:v>
                </c:pt>
                <c:pt idx="76">
                  <c:v>0.20458469782673405</c:v>
                </c:pt>
                <c:pt idx="77">
                  <c:v>0.19368859779696335</c:v>
                </c:pt>
                <c:pt idx="78">
                  <c:v>0.18326883000893124</c:v>
                </c:pt>
                <c:pt idx="79">
                  <c:v>0.17284906222089913</c:v>
                </c:pt>
                <c:pt idx="80">
                  <c:v>0.16314379279547486</c:v>
                </c:pt>
                <c:pt idx="81">
                  <c:v>0.15403393867222381</c:v>
                </c:pt>
                <c:pt idx="82">
                  <c:v>0.14462637689788627</c:v>
                </c:pt>
                <c:pt idx="83">
                  <c:v>0.13587377195593919</c:v>
                </c:pt>
                <c:pt idx="84">
                  <c:v>0.12759749925573083</c:v>
                </c:pt>
                <c:pt idx="85">
                  <c:v>0.11914260196487048</c:v>
                </c:pt>
                <c:pt idx="86">
                  <c:v>0.11122357844596609</c:v>
                </c:pt>
                <c:pt idx="87">
                  <c:v>0.10348317951771357</c:v>
                </c:pt>
                <c:pt idx="88">
                  <c:v>9.6040488240547783E-2</c:v>
                </c:pt>
                <c:pt idx="89">
                  <c:v>8.8597796963381992E-2</c:v>
                </c:pt>
                <c:pt idx="90">
                  <c:v>8.1512354867520065E-2</c:v>
                </c:pt>
                <c:pt idx="91">
                  <c:v>7.5260494194700822E-2</c:v>
                </c:pt>
                <c:pt idx="92">
                  <c:v>6.8710925870794859E-2</c:v>
                </c:pt>
                <c:pt idx="93">
                  <c:v>6.2578148258410238E-2</c:v>
                </c:pt>
                <c:pt idx="94">
                  <c:v>5.6862161357546848E-2</c:v>
                </c:pt>
                <c:pt idx="95">
                  <c:v>5.1443882107770178E-2</c:v>
                </c:pt>
                <c:pt idx="96">
                  <c:v>4.6621018160166727E-2</c:v>
                </c:pt>
                <c:pt idx="97">
                  <c:v>4.1321821970824568E-2</c:v>
                </c:pt>
                <c:pt idx="98">
                  <c:v>3.7034831795177192E-2</c:v>
                </c:pt>
                <c:pt idx="99">
                  <c:v>3.2747841619529594E-2</c:v>
                </c:pt>
                <c:pt idx="100">
                  <c:v>2.9056266746055326E-2</c:v>
                </c:pt>
                <c:pt idx="101">
                  <c:v>2.5424233402798424E-2</c:v>
                </c:pt>
                <c:pt idx="102">
                  <c:v>2.197082465019351E-2</c:v>
                </c:pt>
                <c:pt idx="103">
                  <c:v>1.8815123548675206E-2</c:v>
                </c:pt>
                <c:pt idx="104">
                  <c:v>1.6135754688895498E-2</c:v>
                </c:pt>
                <c:pt idx="105">
                  <c:v>1.3635010419767779E-2</c:v>
                </c:pt>
                <c:pt idx="106">
                  <c:v>1.1074724620422693E-2</c:v>
                </c:pt>
                <c:pt idx="107">
                  <c:v>8.9907710628162052E-3</c:v>
                </c:pt>
                <c:pt idx="108">
                  <c:v>6.8472759749925727E-3</c:v>
                </c:pt>
                <c:pt idx="109">
                  <c:v>4.882405477820817E-3</c:v>
                </c:pt>
                <c:pt idx="110">
                  <c:v>4.465614766299586E-3</c:v>
                </c:pt>
                <c:pt idx="111">
                  <c:v>2.6793688597797072E-3</c:v>
                </c:pt>
                <c:pt idx="112">
                  <c:v>2.1434950878237435E-3</c:v>
                </c:pt>
                <c:pt idx="113">
                  <c:v>1.3694551949985367E-3</c:v>
                </c:pt>
                <c:pt idx="114">
                  <c:v>8.931229532599394E-4</c:v>
                </c:pt>
                <c:pt idx="115">
                  <c:v>5.3587377195585262E-4</c:v>
                </c:pt>
                <c:pt idx="116">
                  <c:v>1.1908306043462158E-4</c:v>
                </c:pt>
                <c:pt idx="117">
                  <c:v>1.1908306043462158E-4</c:v>
                </c:pt>
                <c:pt idx="118">
                  <c:v>0</c:v>
                </c:pt>
              </c:numCache>
            </c:numRef>
          </c:xVal>
          <c:yVal>
            <c:numRef>
              <c:f>Table!$K$18:$K$136</c:f>
              <c:numCache>
                <c:formatCode>??0.000</c:formatCode>
                <c:ptCount val="119"/>
                <c:pt idx="0">
                  <c:v>3.2746648976365225E-3</c:v>
                </c:pt>
                <c:pt idx="1">
                  <c:v>3.4723733183535596E-3</c:v>
                </c:pt>
                <c:pt idx="2">
                  <c:v>3.9237213662187955E-3</c:v>
                </c:pt>
                <c:pt idx="3">
                  <c:v>4.363741568253041E-3</c:v>
                </c:pt>
                <c:pt idx="4">
                  <c:v>4.7011026173348668E-3</c:v>
                </c:pt>
                <c:pt idx="5">
                  <c:v>5.1205911958785112E-3</c:v>
                </c:pt>
                <c:pt idx="6">
                  <c:v>5.5947722646802443E-3</c:v>
                </c:pt>
                <c:pt idx="7">
                  <c:v>6.1061236204191542E-3</c:v>
                </c:pt>
                <c:pt idx="8">
                  <c:v>6.6903979513357132E-3</c:v>
                </c:pt>
                <c:pt idx="9">
                  <c:v>7.3541458267179895E-3</c:v>
                </c:pt>
                <c:pt idx="10">
                  <c:v>8.0175395613009438E-3</c:v>
                </c:pt>
                <c:pt idx="11">
                  <c:v>8.7706717460329306E-3</c:v>
                </c:pt>
                <c:pt idx="12">
                  <c:v>9.5976122579408754E-3</c:v>
                </c:pt>
                <c:pt idx="13">
                  <c:v>1.046809552017499E-2</c:v>
                </c:pt>
                <c:pt idx="14">
                  <c:v>1.1427431880559832E-2</c:v>
                </c:pt>
                <c:pt idx="15">
                  <c:v>1.2517040280125043E-2</c:v>
                </c:pt>
                <c:pt idx="16">
                  <c:v>1.36926696869458E-2</c:v>
                </c:pt>
                <c:pt idx="17">
                  <c:v>1.4970781435194173E-2</c:v>
                </c:pt>
                <c:pt idx="18">
                  <c:v>1.6378988152223252E-2</c:v>
                </c:pt>
                <c:pt idx="19">
                  <c:v>1.7915164993237098E-2</c:v>
                </c:pt>
                <c:pt idx="20">
                  <c:v>1.9601438509697536E-2</c:v>
                </c:pt>
                <c:pt idx="21">
                  <c:v>2.1450374486984065E-2</c:v>
                </c:pt>
                <c:pt idx="22">
                  <c:v>2.3414888766777282E-2</c:v>
                </c:pt>
                <c:pt idx="23">
                  <c:v>2.5805796852951247E-2</c:v>
                </c:pt>
                <c:pt idx="24">
                  <c:v>2.7978995329491996E-2</c:v>
                </c:pt>
                <c:pt idx="25">
                  <c:v>3.0803195719137616E-2</c:v>
                </c:pt>
                <c:pt idx="26">
                  <c:v>3.3613060654906532E-2</c:v>
                </c:pt>
                <c:pt idx="27">
                  <c:v>3.6640811235208903E-2</c:v>
                </c:pt>
                <c:pt idx="28">
                  <c:v>4.0114244904961613E-2</c:v>
                </c:pt>
                <c:pt idx="29">
                  <c:v>4.4011061148801392E-2</c:v>
                </c:pt>
                <c:pt idx="30">
                  <c:v>4.8112670182593804E-2</c:v>
                </c:pt>
                <c:pt idx="31">
                  <c:v>5.2783327563930692E-2</c:v>
                </c:pt>
                <c:pt idx="32">
                  <c:v>5.7766569082139431E-2</c:v>
                </c:pt>
                <c:pt idx="33">
                  <c:v>6.2976187340070086E-2</c:v>
                </c:pt>
                <c:pt idx="34">
                  <c:v>7.1063160243526102E-2</c:v>
                </c:pt>
                <c:pt idx="35">
                  <c:v>7.5149423176014502E-2</c:v>
                </c:pt>
                <c:pt idx="36">
                  <c:v>7.8963705974622489E-2</c:v>
                </c:pt>
                <c:pt idx="37">
                  <c:v>8.862200781767314E-2</c:v>
                </c:pt>
                <c:pt idx="38">
                  <c:v>0.10358245600422274</c:v>
                </c:pt>
                <c:pt idx="39">
                  <c:v>0.11297878477972241</c:v>
                </c:pt>
                <c:pt idx="40">
                  <c:v>0.11972274393820728</c:v>
                </c:pt>
                <c:pt idx="41">
                  <c:v>0.12797844940004971</c:v>
                </c:pt>
                <c:pt idx="42">
                  <c:v>0.14202595159992701</c:v>
                </c:pt>
                <c:pt idx="43">
                  <c:v>0.15739673920995467</c:v>
                </c:pt>
                <c:pt idx="44">
                  <c:v>0.16939103660529589</c:v>
                </c:pt>
                <c:pt idx="45">
                  <c:v>0.18891575082146983</c:v>
                </c:pt>
                <c:pt idx="46">
                  <c:v>0.20319278596328055</c:v>
                </c:pt>
                <c:pt idx="47">
                  <c:v>0.21946763911701267</c:v>
                </c:pt>
                <c:pt idx="48">
                  <c:v>0.24292899074246141</c:v>
                </c:pt>
                <c:pt idx="49">
                  <c:v>0.26329903697562163</c:v>
                </c:pt>
                <c:pt idx="50">
                  <c:v>0.28680636477501764</c:v>
                </c:pt>
                <c:pt idx="51">
                  <c:v>0.31659534680686707</c:v>
                </c:pt>
                <c:pt idx="52">
                  <c:v>0.34548909403400802</c:v>
                </c:pt>
                <c:pt idx="53">
                  <c:v>0.37653416170608706</c:v>
                </c:pt>
                <c:pt idx="54">
                  <c:v>0.41336798588992368</c:v>
                </c:pt>
                <c:pt idx="55">
                  <c:v>0.4501309322099239</c:v>
                </c:pt>
                <c:pt idx="56">
                  <c:v>0.49345698978688768</c:v>
                </c:pt>
                <c:pt idx="57">
                  <c:v>0.54161042965237904</c:v>
                </c:pt>
                <c:pt idx="58">
                  <c:v>0.59152604099932271</c:v>
                </c:pt>
                <c:pt idx="59">
                  <c:v>0.64762154598038324</c:v>
                </c:pt>
                <c:pt idx="60">
                  <c:v>0.70875782896904882</c:v>
                </c:pt>
                <c:pt idx="61">
                  <c:v>0.77473667052564232</c:v>
                </c:pt>
                <c:pt idx="62">
                  <c:v>0.84899268137591577</c:v>
                </c:pt>
                <c:pt idx="63">
                  <c:v>0.93113598356479621</c:v>
                </c:pt>
                <c:pt idx="64">
                  <c:v>1.0171744866184316</c:v>
                </c:pt>
                <c:pt idx="65">
                  <c:v>1.1132176039388775</c:v>
                </c:pt>
                <c:pt idx="66">
                  <c:v>1.2193766724230433</c:v>
                </c:pt>
                <c:pt idx="67">
                  <c:v>1.3311798588609274</c:v>
                </c:pt>
                <c:pt idx="68">
                  <c:v>1.4588693625047102</c:v>
                </c:pt>
                <c:pt idx="69">
                  <c:v>1.5963891188821064</c:v>
                </c:pt>
                <c:pt idx="70">
                  <c:v>1.7487743391558763</c:v>
                </c:pt>
                <c:pt idx="71">
                  <c:v>1.9158922143132759</c:v>
                </c:pt>
                <c:pt idx="72">
                  <c:v>2.092290947635608</c:v>
                </c:pt>
                <c:pt idx="73">
                  <c:v>2.2790108763893566</c:v>
                </c:pt>
                <c:pt idx="74">
                  <c:v>2.4925977238067647</c:v>
                </c:pt>
                <c:pt idx="75">
                  <c:v>2.7316189551475873</c:v>
                </c:pt>
                <c:pt idx="76">
                  <c:v>2.9917997637461764</c:v>
                </c:pt>
                <c:pt idx="77">
                  <c:v>3.2769184467255315</c:v>
                </c:pt>
                <c:pt idx="78">
                  <c:v>3.5784505741000854</c:v>
                </c:pt>
                <c:pt idx="79">
                  <c:v>3.9312724288269285</c:v>
                </c:pt>
                <c:pt idx="80">
                  <c:v>4.2953159824109122</c:v>
                </c:pt>
                <c:pt idx="81">
                  <c:v>4.6861137923223968</c:v>
                </c:pt>
                <c:pt idx="82">
                  <c:v>5.1407786877071162</c:v>
                </c:pt>
                <c:pt idx="83">
                  <c:v>5.6196339097362049</c:v>
                </c:pt>
                <c:pt idx="84">
                  <c:v>6.1421878034511144</c:v>
                </c:pt>
                <c:pt idx="85">
                  <c:v>6.7269154014548258</c:v>
                </c:pt>
                <c:pt idx="86">
                  <c:v>7.358170688677272</c:v>
                </c:pt>
                <c:pt idx="87">
                  <c:v>8.0512147726306313</c:v>
                </c:pt>
                <c:pt idx="88">
                  <c:v>8.8121065012096143</c:v>
                </c:pt>
                <c:pt idx="89">
                  <c:v>9.6337940074342132</c:v>
                </c:pt>
                <c:pt idx="90">
                  <c:v>10.524288776300658</c:v>
                </c:pt>
                <c:pt idx="91">
                  <c:v>11.522849258010856</c:v>
                </c:pt>
                <c:pt idx="92">
                  <c:v>12.608709530763971</c:v>
                </c:pt>
                <c:pt idx="93">
                  <c:v>13.80275745677174</c:v>
                </c:pt>
                <c:pt idx="94">
                  <c:v>15.08534048320243</c:v>
                </c:pt>
                <c:pt idx="95">
                  <c:v>16.516326050051699</c:v>
                </c:pt>
                <c:pt idx="96">
                  <c:v>18.059847771243515</c:v>
                </c:pt>
                <c:pt idx="97">
                  <c:v>19.752312812067476</c:v>
                </c:pt>
                <c:pt idx="98">
                  <c:v>21.621869260765266</c:v>
                </c:pt>
                <c:pt idx="99">
                  <c:v>23.660761707203534</c:v>
                </c:pt>
                <c:pt idx="100">
                  <c:v>25.833387792804633</c:v>
                </c:pt>
                <c:pt idx="101">
                  <c:v>28.222429478268207</c:v>
                </c:pt>
                <c:pt idx="102">
                  <c:v>31.044251466589564</c:v>
                </c:pt>
                <c:pt idx="103">
                  <c:v>33.866440336495025</c:v>
                </c:pt>
                <c:pt idx="104">
                  <c:v>37.123551419084556</c:v>
                </c:pt>
                <c:pt idx="105">
                  <c:v>40.596511873889412</c:v>
                </c:pt>
                <c:pt idx="106">
                  <c:v>44.283977175335473</c:v>
                </c:pt>
                <c:pt idx="107">
                  <c:v>48.413855011749156</c:v>
                </c:pt>
                <c:pt idx="108">
                  <c:v>52.975643662873338</c:v>
                </c:pt>
                <c:pt idx="109">
                  <c:v>57.972511458688629</c:v>
                </c:pt>
                <c:pt idx="110">
                  <c:v>63.617215786730497</c:v>
                </c:pt>
                <c:pt idx="111">
                  <c:v>69.469193364871415</c:v>
                </c:pt>
                <c:pt idx="112">
                  <c:v>75.976408728004927</c:v>
                </c:pt>
                <c:pt idx="113">
                  <c:v>83.132050178742915</c:v>
                </c:pt>
                <c:pt idx="114">
                  <c:v>90.942165961466102</c:v>
                </c:pt>
                <c:pt idx="115">
                  <c:v>99.404635373376195</c:v>
                </c:pt>
                <c:pt idx="116">
                  <c:v>108.73772962928417</c:v>
                </c:pt>
                <c:pt idx="117">
                  <c:v>118.92444069274778</c:v>
                </c:pt>
                <c:pt idx="118">
                  <c:v>129.07125709517001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380416"/>
        <c:axId val="52382720"/>
      </c:scatterChart>
      <c:valAx>
        <c:axId val="52380416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Wetting Phase Saturation (1- Hg), fraction pore space</a:t>
                </a:r>
              </a:p>
            </c:rich>
          </c:tx>
          <c:layout>
            <c:manualLayout>
              <c:xMode val="edge"/>
              <c:yMode val="edge"/>
              <c:x val="0.22145365047362159"/>
              <c:y val="0.9297658862876256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52382720"/>
        <c:crossesAt val="0"/>
        <c:crossBetween val="midCat"/>
        <c:majorUnit val="0.2"/>
        <c:minorUnit val="0.1"/>
      </c:valAx>
      <c:valAx>
        <c:axId val="52382720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Leverett J Function.</a:t>
                </a:r>
              </a:p>
            </c:rich>
          </c:tx>
          <c:layout>
            <c:manualLayout>
              <c:xMode val="edge"/>
              <c:yMode val="edge"/>
              <c:x val="5.5363321799309036E-2"/>
              <c:y val="0.3311036789297744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52380416"/>
        <c:crosses val="autoZero"/>
        <c:crossBetween val="midCat"/>
        <c:majorUnit val="0.4"/>
        <c:minorUnit val="0.2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 sz="600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619718309859155"/>
          <c:y val="5.369136314257017E-2"/>
          <c:w val="0.79577464788732399"/>
          <c:h val="0.81320051436523455"/>
        </c:manualLayout>
      </c:layout>
      <c:scatterChart>
        <c:scatterStyle val="lineMarker"/>
        <c:varyColors val="0"/>
        <c:ser>
          <c:idx val="2"/>
          <c:order val="0"/>
          <c:tx>
            <c:v>Uncorrected</c:v>
          </c:tx>
          <c:spPr>
            <a:ln w="12700">
              <a:solidFill>
                <a:srgbClr val="99CCFF"/>
              </a:solidFill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xVal>
            <c:numRef>
              <c:f>'Raw Data'!$D$18:$D$136</c:f>
              <c:numCache>
                <c:formatCode>0.000</c:formatCode>
                <c:ptCount val="119"/>
                <c:pt idx="0">
                  <c:v>0</c:v>
                </c:pt>
                <c:pt idx="1">
                  <c:v>1.0420879235905698E-3</c:v>
                </c:pt>
                <c:pt idx="2">
                  <c:v>2.1213932153110039E-3</c:v>
                </c:pt>
                <c:pt idx="3">
                  <c:v>2.2330455351611792E-3</c:v>
                </c:pt>
                <c:pt idx="4">
                  <c:v>6.2153099579529709E-3</c:v>
                </c:pt>
                <c:pt idx="5">
                  <c:v>7.7412246368043971E-3</c:v>
                </c:pt>
                <c:pt idx="6">
                  <c:v>9.4904439553561738E-3</c:v>
                </c:pt>
                <c:pt idx="7">
                  <c:v>1.0495314187626005E-2</c:v>
                </c:pt>
                <c:pt idx="8">
                  <c:v>1.1388532746427409E-2</c:v>
                </c:pt>
                <c:pt idx="9">
                  <c:v>1.190957590024551E-2</c:v>
                </c:pt>
                <c:pt idx="10">
                  <c:v>1.243061991590594E-2</c:v>
                </c:pt>
                <c:pt idx="11">
                  <c:v>1.2877229195306643E-2</c:v>
                </c:pt>
                <c:pt idx="12">
                  <c:v>1.3212185939396588E-2</c:v>
                </c:pt>
                <c:pt idx="13">
                  <c:v>1.3547143545328858E-2</c:v>
                </c:pt>
                <c:pt idx="14">
                  <c:v>1.3919317226627504E-2</c:v>
                </c:pt>
                <c:pt idx="15">
                  <c:v>1.4217056171666419E-2</c:v>
                </c:pt>
                <c:pt idx="16">
                  <c:v>1.458923071480739E-2</c:v>
                </c:pt>
                <c:pt idx="17">
                  <c:v>1.4849753584479935E-2</c:v>
                </c:pt>
                <c:pt idx="18">
                  <c:v>1.5073056931416796E-2</c:v>
                </c:pt>
                <c:pt idx="19">
                  <c:v>1.5408013675506739E-2</c:v>
                </c:pt>
                <c:pt idx="20">
                  <c:v>1.5742970419596682E-2</c:v>
                </c:pt>
                <c:pt idx="21">
                  <c:v>1.5891839892116139E-2</c:v>
                </c:pt>
                <c:pt idx="22">
                  <c:v>1.6152362761788684E-2</c:v>
                </c:pt>
                <c:pt idx="23">
                  <c:v>1.6301232234308141E-2</c:v>
                </c:pt>
                <c:pt idx="24">
                  <c:v>1.6412883907776569E-2</c:v>
                </c:pt>
                <c:pt idx="25">
                  <c:v>1.6673406777449114E-2</c:v>
                </c:pt>
                <c:pt idx="26">
                  <c:v>1.6785058450917541E-2</c:v>
                </c:pt>
                <c:pt idx="27">
                  <c:v>1.7082799119641112E-2</c:v>
                </c:pt>
                <c:pt idx="28">
                  <c:v>1.7306102466577974E-2</c:v>
                </c:pt>
                <c:pt idx="29">
                  <c:v>1.7641059210667918E-2</c:v>
                </c:pt>
                <c:pt idx="30">
                  <c:v>1.8013233753808887E-2</c:v>
                </c:pt>
                <c:pt idx="31">
                  <c:v>1.8310972698847804E-2</c:v>
                </c:pt>
                <c:pt idx="32">
                  <c:v>1.8757582840090832E-2</c:v>
                </c:pt>
                <c:pt idx="33">
                  <c:v>1.9129757383231805E-2</c:v>
                </c:pt>
                <c:pt idx="34">
                  <c:v>1.9129757383231805E-2</c:v>
                </c:pt>
                <c:pt idx="35">
                  <c:v>1.9129757383231805E-2</c:v>
                </c:pt>
                <c:pt idx="36">
                  <c:v>1.9129757383231805E-2</c:v>
                </c:pt>
                <c:pt idx="37">
                  <c:v>1.9610162085802844E-2</c:v>
                </c:pt>
                <c:pt idx="38">
                  <c:v>1.9668535996961774E-2</c:v>
                </c:pt>
                <c:pt idx="39">
                  <c:v>1.9726909908120701E-2</c:v>
                </c:pt>
                <c:pt idx="40">
                  <c:v>1.9843657730438554E-2</c:v>
                </c:pt>
                <c:pt idx="41">
                  <c:v>2.031064901970998E-2</c:v>
                </c:pt>
                <c:pt idx="42">
                  <c:v>2.2178614176795682E-2</c:v>
                </c:pt>
                <c:pt idx="43">
                  <c:v>2.4688692356629589E-2</c:v>
                </c:pt>
                <c:pt idx="44">
                  <c:v>2.7490640092258135E-2</c:v>
                </c:pt>
                <c:pt idx="45">
                  <c:v>3.6246726766097345E-2</c:v>
                </c:pt>
                <c:pt idx="46">
                  <c:v>4.6812404685863333E-2</c:v>
                </c:pt>
                <c:pt idx="47">
                  <c:v>7.1271073461454199E-2</c:v>
                </c:pt>
                <c:pt idx="48">
                  <c:v>0.11907930670061631</c:v>
                </c:pt>
                <c:pt idx="49">
                  <c:v>0.17978817430590152</c:v>
                </c:pt>
                <c:pt idx="50">
                  <c:v>0.25526564143439556</c:v>
                </c:pt>
                <c:pt idx="51">
                  <c:v>0.34189252559424482</c:v>
                </c:pt>
                <c:pt idx="52">
                  <c:v>0.39045961967847298</c:v>
                </c:pt>
                <c:pt idx="53">
                  <c:v>0.42268201863820132</c:v>
                </c:pt>
                <c:pt idx="54">
                  <c:v>0.44959239168246717</c:v>
                </c:pt>
                <c:pt idx="55">
                  <c:v>0.47451805174732942</c:v>
                </c:pt>
                <c:pt idx="56">
                  <c:v>0.49792599012205963</c:v>
                </c:pt>
                <c:pt idx="57">
                  <c:v>0.51940758942854515</c:v>
                </c:pt>
                <c:pt idx="58">
                  <c:v>0.53907959748910395</c:v>
                </c:pt>
                <c:pt idx="59">
                  <c:v>0.55822624034923229</c:v>
                </c:pt>
                <c:pt idx="60">
                  <c:v>0.57591353543038748</c:v>
                </c:pt>
                <c:pt idx="61">
                  <c:v>0.59330896095574814</c:v>
                </c:pt>
                <c:pt idx="62">
                  <c:v>0.61017902128067825</c:v>
                </c:pt>
                <c:pt idx="63">
                  <c:v>0.62664046422749597</c:v>
                </c:pt>
                <c:pt idx="64">
                  <c:v>0.6419928028622941</c:v>
                </c:pt>
                <c:pt idx="65">
                  <c:v>0.65711164585245652</c:v>
                </c:pt>
                <c:pt idx="66">
                  <c:v>0.67228886275377775</c:v>
                </c:pt>
                <c:pt idx="67">
                  <c:v>0.6865904709877152</c:v>
                </c:pt>
                <c:pt idx="68">
                  <c:v>0.70071695748817575</c:v>
                </c:pt>
                <c:pt idx="69">
                  <c:v>0.71431807878820586</c:v>
                </c:pt>
                <c:pt idx="70">
                  <c:v>0.72768570444360048</c:v>
                </c:pt>
                <c:pt idx="71">
                  <c:v>0.74058633880972369</c:v>
                </c:pt>
                <c:pt idx="72">
                  <c:v>0.75307835579773419</c:v>
                </c:pt>
                <c:pt idx="73">
                  <c:v>0.76475313802951983</c:v>
                </c:pt>
                <c:pt idx="74">
                  <c:v>0.77666141590594107</c:v>
                </c:pt>
                <c:pt idx="75">
                  <c:v>0.78833619813772671</c:v>
                </c:pt>
                <c:pt idx="76">
                  <c:v>0.79942724125792319</c:v>
                </c:pt>
                <c:pt idx="77">
                  <c:v>0.81010966700000697</c:v>
                </c:pt>
                <c:pt idx="78">
                  <c:v>0.82032510145281934</c:v>
                </c:pt>
                <c:pt idx="79">
                  <c:v>0.83054053590563182</c:v>
                </c:pt>
                <c:pt idx="80">
                  <c:v>0.84005548342453706</c:v>
                </c:pt>
                <c:pt idx="81">
                  <c:v>0.84898669183185305</c:v>
                </c:pt>
                <c:pt idx="82">
                  <c:v>0.85820976979496377</c:v>
                </c:pt>
                <c:pt idx="83">
                  <c:v>0.86679073473532608</c:v>
                </c:pt>
                <c:pt idx="84">
                  <c:v>0.8749047083864171</c:v>
                </c:pt>
                <c:pt idx="85">
                  <c:v>0.88319380377098489</c:v>
                </c:pt>
                <c:pt idx="86">
                  <c:v>0.89095753395512234</c:v>
                </c:pt>
                <c:pt idx="87">
                  <c:v>0.89854614240578301</c:v>
                </c:pt>
                <c:pt idx="88">
                  <c:v>0.90584288130064905</c:v>
                </c:pt>
                <c:pt idx="89">
                  <c:v>0.91313962019551498</c:v>
                </c:pt>
                <c:pt idx="90">
                  <c:v>0.92008611562342746</c:v>
                </c:pt>
                <c:pt idx="91">
                  <c:v>0.92621537629511486</c:v>
                </c:pt>
                <c:pt idx="92">
                  <c:v>0.932636506522597</c:v>
                </c:pt>
                <c:pt idx="93">
                  <c:v>0.93864901937196665</c:v>
                </c:pt>
                <c:pt idx="94">
                  <c:v>0.94425291484322371</c:v>
                </c:pt>
                <c:pt idx="95">
                  <c:v>0.94956494075868614</c:v>
                </c:pt>
                <c:pt idx="96">
                  <c:v>0.9542932275625593</c:v>
                </c:pt>
                <c:pt idx="97">
                  <c:v>0.95948850565570398</c:v>
                </c:pt>
                <c:pt idx="98">
                  <c:v>0.96369142725914669</c:v>
                </c:pt>
                <c:pt idx="99">
                  <c:v>0.96789434886258963</c:v>
                </c:pt>
                <c:pt idx="100">
                  <c:v>0.97151353135444307</c:v>
                </c:pt>
                <c:pt idx="101">
                  <c:v>0.9750743399351377</c:v>
                </c:pt>
                <c:pt idx="102">
                  <c:v>0.97846002678235555</c:v>
                </c:pt>
                <c:pt idx="103">
                  <c:v>0.98155384407377866</c:v>
                </c:pt>
                <c:pt idx="104">
                  <c:v>0.98418067007593057</c:v>
                </c:pt>
                <c:pt idx="105">
                  <c:v>0.98663237434460549</c:v>
                </c:pt>
                <c:pt idx="106">
                  <c:v>0.98914245252443944</c:v>
                </c:pt>
                <c:pt idx="107">
                  <c:v>0.99118553941500187</c:v>
                </c:pt>
                <c:pt idx="108">
                  <c:v>0.99328700021672323</c:v>
                </c:pt>
                <c:pt idx="109">
                  <c:v>0.99521333928496791</c:v>
                </c:pt>
                <c:pt idx="110">
                  <c:v>0.9956219566630804</c:v>
                </c:pt>
                <c:pt idx="111">
                  <c:v>0.99737317399784831</c:v>
                </c:pt>
                <c:pt idx="112">
                  <c:v>0.99789853919827853</c:v>
                </c:pt>
                <c:pt idx="113">
                  <c:v>0.99865740004334469</c:v>
                </c:pt>
                <c:pt idx="114">
                  <c:v>0.99912439133261599</c:v>
                </c:pt>
                <c:pt idx="115">
                  <c:v>0.99947463479956966</c:v>
                </c:pt>
                <c:pt idx="116">
                  <c:v>0.99988325217768215</c:v>
                </c:pt>
                <c:pt idx="117">
                  <c:v>0.99988325217768215</c:v>
                </c:pt>
                <c:pt idx="118">
                  <c:v>1</c:v>
                </c:pt>
              </c:numCache>
            </c:numRef>
          </c:xVal>
          <c:y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2.800862666623948</c:v>
                </c:pt>
                <c:pt idx="35">
                  <c:v>2.6485652728460942</c:v>
                </c:pt>
                <c:pt idx="36">
                  <c:v>2.5206283069132387</c:v>
                </c:pt>
                <c:pt idx="37">
                  <c:v>2.2459224000871139</c:v>
                </c:pt>
                <c:pt idx="38">
                  <c:v>1.9215430892109111</c:v>
                </c:pt>
                <c:pt idx="39">
                  <c:v>1.761730336243899</c:v>
                </c:pt>
                <c:pt idx="40">
                  <c:v>1.6624924049613949</c:v>
                </c:pt>
                <c:pt idx="41">
                  <c:v>1.5552474141660459</c:v>
                </c:pt>
                <c:pt idx="42">
                  <c:v>1.4014210097255899</c:v>
                </c:pt>
                <c:pt idx="43">
                  <c:v>1.2645633797591351</c:v>
                </c:pt>
                <c:pt idx="44">
                  <c:v>1.1750217513704304</c:v>
                </c:pt>
                <c:pt idx="45">
                  <c:v>1.0535815655016694</c:v>
                </c:pt>
                <c:pt idx="46">
                  <c:v>0.97955324326512316</c:v>
                </c:pt>
                <c:pt idx="47">
                  <c:v>0.90691344427452047</c:v>
                </c:pt>
                <c:pt idx="48">
                  <c:v>0.81932647021703398</c:v>
                </c:pt>
                <c:pt idx="49">
                  <c:v>0.75593953849833495</c:v>
                </c:pt>
                <c:pt idx="50">
                  <c:v>0.69398094653352937</c:v>
                </c:pt>
                <c:pt idx="51">
                  <c:v>0.62868312660270043</c:v>
                </c:pt>
                <c:pt idx="52">
                  <c:v>0.57610545726463724</c:v>
                </c:pt>
                <c:pt idx="53">
                  <c:v>0.52860582847665105</c:v>
                </c:pt>
                <c:pt idx="54">
                  <c:v>0.48150354960340241</c:v>
                </c:pt>
                <c:pt idx="55">
                  <c:v>0.44217834913327764</c:v>
                </c:pt>
                <c:pt idx="56">
                  <c:v>0.4033546116843279</c:v>
                </c:pt>
                <c:pt idx="57">
                  <c:v>0.36749320471202113</c:v>
                </c:pt>
                <c:pt idx="58">
                  <c:v>0.33648248547460879</c:v>
                </c:pt>
                <c:pt idx="59">
                  <c:v>0.30733713807668228</c:v>
                </c:pt>
                <c:pt idx="60">
                  <c:v>0.28082674273655089</c:v>
                </c:pt>
                <c:pt idx="61">
                  <c:v>0.25691071569306806</c:v>
                </c:pt>
                <c:pt idx="62">
                  <c:v>0.23444036310871053</c:v>
                </c:pt>
                <c:pt idx="63">
                  <c:v>0.21375841553926667</c:v>
                </c:pt>
                <c:pt idx="64">
                  <c:v>0.19567749203000978</c:v>
                </c:pt>
                <c:pt idx="65">
                  <c:v>0.17879536920199107</c:v>
                </c:pt>
                <c:pt idx="66">
                  <c:v>0.16322942450825756</c:v>
                </c:pt>
                <c:pt idx="67">
                  <c:v>0.1495201051710035</c:v>
                </c:pt>
                <c:pt idx="68">
                  <c:v>0.13643315680897014</c:v>
                </c:pt>
                <c:pt idx="69">
                  <c:v>0.12468022372752494</c:v>
                </c:pt>
                <c:pt idx="70">
                  <c:v>0.11381580118249109</c:v>
                </c:pt>
                <c:pt idx="71">
                  <c:v>0.10388796979883851</c:v>
                </c:pt>
                <c:pt idx="72">
                  <c:v>9.5129290084311827E-2</c:v>
                </c:pt>
                <c:pt idx="73">
                  <c:v>8.7335323653103467E-2</c:v>
                </c:pt>
                <c:pt idx="74">
                  <c:v>7.9851694718885827E-2</c:v>
                </c:pt>
                <c:pt idx="75">
                  <c:v>7.2864537758215109E-2</c:v>
                </c:pt>
                <c:pt idx="76">
                  <c:v>6.6527898995881407E-2</c:v>
                </c:pt>
                <c:pt idx="77">
                  <c:v>6.073942813477607E-2</c:v>
                </c:pt>
                <c:pt idx="78">
                  <c:v>5.5621322239014552E-2</c:v>
                </c:pt>
                <c:pt idx="79">
                  <c:v>5.0629447870088051E-2</c:v>
                </c:pt>
                <c:pt idx="80">
                  <c:v>4.6338419178811971E-2</c:v>
                </c:pt>
                <c:pt idx="81">
                  <c:v>4.2474033136904663E-2</c:v>
                </c:pt>
                <c:pt idx="82">
                  <c:v>3.8717510437544664E-2</c:v>
                </c:pt>
                <c:pt idx="83">
                  <c:v>3.5418348542876989E-2</c:v>
                </c:pt>
                <c:pt idx="84">
                  <c:v>3.2405090639946531E-2</c:v>
                </c:pt>
                <c:pt idx="85">
                  <c:v>2.9588324011828898E-2</c:v>
                </c:pt>
                <c:pt idx="86">
                  <c:v>2.7049950445521286E-2</c:v>
                </c:pt>
                <c:pt idx="87">
                  <c:v>2.4721505775130905E-2</c:v>
                </c:pt>
                <c:pt idx="88">
                  <c:v>2.2586898203180588E-2</c:v>
                </c:pt>
                <c:pt idx="89">
                  <c:v>2.0660411915057922E-2</c:v>
                </c:pt>
                <c:pt idx="90">
                  <c:v>1.8912266351586215E-2</c:v>
                </c:pt>
                <c:pt idx="91">
                  <c:v>1.7273345163309601E-2</c:v>
                </c:pt>
                <c:pt idx="92">
                  <c:v>1.5785767132851666E-2</c:v>
                </c:pt>
                <c:pt idx="93">
                  <c:v>1.4420173151760904E-2</c:v>
                </c:pt>
                <c:pt idx="94">
                  <c:v>1.3194143859068811E-2</c:v>
                </c:pt>
                <c:pt idx="95">
                  <c:v>1.2050994385508901E-2</c:v>
                </c:pt>
                <c:pt idx="96">
                  <c:v>1.10210315734407E-2</c:v>
                </c:pt>
                <c:pt idx="97">
                  <c:v>1.00767011130366E-2</c:v>
                </c:pt>
                <c:pt idx="98">
                  <c:v>9.2054091206433871E-3</c:v>
                </c:pt>
                <c:pt idx="99">
                  <c:v>8.4121616607892285E-3</c:v>
                </c:pt>
                <c:pt idx="100">
                  <c:v>7.7046864350422328E-3</c:v>
                </c:pt>
                <c:pt idx="101">
                  <c:v>7.0524811711079136E-3</c:v>
                </c:pt>
                <c:pt idx="102">
                  <c:v>6.4114334569353761E-3</c:v>
                </c:pt>
                <c:pt idx="103">
                  <c:v>5.8771500789801248E-3</c:v>
                </c:pt>
                <c:pt idx="104">
                  <c:v>5.3615062376840784E-3</c:v>
                </c:pt>
                <c:pt idx="105">
                  <c:v>4.9028387738509985E-3</c:v>
                </c:pt>
                <c:pt idx="106">
                  <c:v>4.4945861955972711E-3</c:v>
                </c:pt>
                <c:pt idx="107">
                  <c:v>4.1111816534771814E-3</c:v>
                </c:pt>
                <c:pt idx="108">
                  <c:v>3.7571634573247935E-3</c:v>
                </c:pt>
                <c:pt idx="109">
                  <c:v>3.4333194731479342E-3</c:v>
                </c:pt>
                <c:pt idx="110">
                  <c:v>3.1286838010273865E-3</c:v>
                </c:pt>
                <c:pt idx="111">
                  <c:v>2.8651283087886745E-3</c:v>
                </c:pt>
                <c:pt idx="112">
                  <c:v>2.6197362553810988E-3</c:v>
                </c:pt>
                <c:pt idx="113">
                  <c:v>2.3942408742531176E-3</c:v>
                </c:pt>
                <c:pt idx="114">
                  <c:v>2.188623400312938E-3</c:v>
                </c:pt>
                <c:pt idx="115">
                  <c:v>2.0023025259415252E-3</c:v>
                </c:pt>
                <c:pt idx="116">
                  <c:v>1.8304424156820396E-3</c:v>
                </c:pt>
                <c:pt idx="117">
                  <c:v>1.6736522058795364E-3</c:v>
                </c:pt>
                <c:pt idx="118">
                  <c:v>1.5420795998883601E-3</c:v>
                </c:pt>
              </c:numCache>
            </c:numRef>
          </c:yVal>
          <c:smooth val="0"/>
        </c:ser>
        <c:ser>
          <c:idx val="0"/>
          <c:order val="1"/>
          <c:tx>
            <c:v>Conformance Corrected</c:v>
          </c:tx>
          <c:spPr>
            <a:ln w="12700">
              <a:solidFill>
                <a:srgbClr val="0000FF"/>
              </a:solidFill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xVal>
            <c:numRef>
              <c:f>Table!$B$18:$B$136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5.9541530217326585E-5</c:v>
                </c:pt>
                <c:pt idx="39">
                  <c:v>1.1908306043465317E-4</c:v>
                </c:pt>
                <c:pt idx="40">
                  <c:v>2.3816612086930634E-4</c:v>
                </c:pt>
                <c:pt idx="41">
                  <c:v>7.1449836260791899E-4</c:v>
                </c:pt>
                <c:pt idx="42">
                  <c:v>2.6198273295623699E-3</c:v>
                </c:pt>
                <c:pt idx="43">
                  <c:v>5.1801131289074126E-3</c:v>
                </c:pt>
                <c:pt idx="44">
                  <c:v>8.0381065793390886E-3</c:v>
                </c:pt>
                <c:pt idx="45">
                  <c:v>1.6969336111938078E-2</c:v>
                </c:pt>
                <c:pt idx="46">
                  <c:v>2.774635308127419E-2</c:v>
                </c:pt>
                <c:pt idx="47">
                  <c:v>5.2694254242334024E-2</c:v>
                </c:pt>
                <c:pt idx="48">
                  <c:v>0.10145876749032449</c:v>
                </c:pt>
                <c:pt idx="49">
                  <c:v>0.16338195891634413</c:v>
                </c:pt>
                <c:pt idx="50">
                  <c:v>0.24036915748734744</c:v>
                </c:pt>
                <c:pt idx="51">
                  <c:v>0.32872878832986008</c:v>
                </c:pt>
                <c:pt idx="52">
                  <c:v>0.37826734147067581</c:v>
                </c:pt>
                <c:pt idx="53">
                  <c:v>0.41113426615064008</c:v>
                </c:pt>
                <c:pt idx="54">
                  <c:v>0.43858291158082763</c:v>
                </c:pt>
                <c:pt idx="55">
                  <c:v>0.46400714498362605</c:v>
                </c:pt>
                <c:pt idx="56">
                  <c:v>0.48788329860077406</c:v>
                </c:pt>
                <c:pt idx="57">
                  <c:v>0.50979458172075021</c:v>
                </c:pt>
                <c:pt idx="58">
                  <c:v>0.52986007740398933</c:v>
                </c:pt>
                <c:pt idx="59">
                  <c:v>0.54938969931527237</c:v>
                </c:pt>
                <c:pt idx="60">
                  <c:v>0.56743078297112237</c:v>
                </c:pt>
                <c:pt idx="61">
                  <c:v>0.58517415897588565</c:v>
                </c:pt>
                <c:pt idx="62">
                  <c:v>0.60238166120869308</c:v>
                </c:pt>
                <c:pt idx="63">
                  <c:v>0.61917237272997916</c:v>
                </c:pt>
                <c:pt idx="64">
                  <c:v>0.63483179517713606</c:v>
                </c:pt>
                <c:pt idx="65">
                  <c:v>0.65025305150342372</c:v>
                </c:pt>
                <c:pt idx="66">
                  <c:v>0.66573384935992863</c:v>
                </c:pt>
                <c:pt idx="67">
                  <c:v>0.6803215242631736</c:v>
                </c:pt>
                <c:pt idx="68">
                  <c:v>0.69473057457576659</c:v>
                </c:pt>
                <c:pt idx="69">
                  <c:v>0.70860375111640361</c:v>
                </c:pt>
                <c:pt idx="70">
                  <c:v>0.7222387615361715</c:v>
                </c:pt>
                <c:pt idx="71">
                  <c:v>0.73539743971420068</c:v>
                </c:pt>
                <c:pt idx="72">
                  <c:v>0.74813932718070852</c:v>
                </c:pt>
                <c:pt idx="73">
                  <c:v>0.76004763322417379</c:v>
                </c:pt>
                <c:pt idx="74">
                  <c:v>0.77219410538850841</c:v>
                </c:pt>
                <c:pt idx="75">
                  <c:v>0.78410241143197379</c:v>
                </c:pt>
                <c:pt idx="76">
                  <c:v>0.79541530217326595</c:v>
                </c:pt>
                <c:pt idx="77">
                  <c:v>0.80631140220303665</c:v>
                </c:pt>
                <c:pt idx="78">
                  <c:v>0.81673116999106876</c:v>
                </c:pt>
                <c:pt idx="79">
                  <c:v>0.82715093777910087</c:v>
                </c:pt>
                <c:pt idx="80">
                  <c:v>0.83685620720452514</c:v>
                </c:pt>
                <c:pt idx="81">
                  <c:v>0.84596606132777619</c:v>
                </c:pt>
                <c:pt idx="82">
                  <c:v>0.85537362310211373</c:v>
                </c:pt>
                <c:pt idx="83">
                  <c:v>0.86412622804406081</c:v>
                </c:pt>
                <c:pt idx="84">
                  <c:v>0.87240250074426917</c:v>
                </c:pt>
                <c:pt idx="85">
                  <c:v>0.88085739803512952</c:v>
                </c:pt>
                <c:pt idx="86">
                  <c:v>0.88877642155403391</c:v>
                </c:pt>
                <c:pt idx="87">
                  <c:v>0.89651682048228643</c:v>
                </c:pt>
                <c:pt idx="88">
                  <c:v>0.90395951175945222</c:v>
                </c:pt>
                <c:pt idx="89">
                  <c:v>0.91140220303661801</c:v>
                </c:pt>
                <c:pt idx="90">
                  <c:v>0.91848764513247994</c:v>
                </c:pt>
                <c:pt idx="91">
                  <c:v>0.92473950580529918</c:v>
                </c:pt>
                <c:pt idx="92">
                  <c:v>0.93128907412920514</c:v>
                </c:pt>
                <c:pt idx="93">
                  <c:v>0.93742185174158976</c:v>
                </c:pt>
                <c:pt idx="94">
                  <c:v>0.94313783864245315</c:v>
                </c:pt>
                <c:pt idx="95">
                  <c:v>0.94855611789222982</c:v>
                </c:pt>
                <c:pt idx="96">
                  <c:v>0.95337898183983327</c:v>
                </c:pt>
                <c:pt idx="97">
                  <c:v>0.95867817802917543</c:v>
                </c:pt>
                <c:pt idx="98">
                  <c:v>0.96296516820482281</c:v>
                </c:pt>
                <c:pt idx="99">
                  <c:v>0.96725215838047041</c:v>
                </c:pt>
                <c:pt idx="100">
                  <c:v>0.97094373325394467</c:v>
                </c:pt>
                <c:pt idx="101">
                  <c:v>0.97457576659720158</c:v>
                </c:pt>
                <c:pt idx="102">
                  <c:v>0.97802917534980649</c:v>
                </c:pt>
                <c:pt idx="103">
                  <c:v>0.98118487645132479</c:v>
                </c:pt>
                <c:pt idx="104">
                  <c:v>0.9838642453111045</c:v>
                </c:pt>
                <c:pt idx="105">
                  <c:v>0.98636498958023222</c:v>
                </c:pt>
                <c:pt idx="106">
                  <c:v>0.98892527537957731</c:v>
                </c:pt>
                <c:pt idx="107">
                  <c:v>0.99100922893718379</c:v>
                </c:pt>
                <c:pt idx="108">
                  <c:v>0.99315272402500743</c:v>
                </c:pt>
                <c:pt idx="109">
                  <c:v>0.99511759452217918</c:v>
                </c:pt>
                <c:pt idx="110">
                  <c:v>0.99553438523370041</c:v>
                </c:pt>
                <c:pt idx="111">
                  <c:v>0.99732063114022029</c:v>
                </c:pt>
                <c:pt idx="112">
                  <c:v>0.99785650491217626</c:v>
                </c:pt>
                <c:pt idx="113">
                  <c:v>0.99863054480500146</c:v>
                </c:pt>
                <c:pt idx="114">
                  <c:v>0.99910687704674006</c:v>
                </c:pt>
                <c:pt idx="115">
                  <c:v>0.99946412622804415</c:v>
                </c:pt>
                <c:pt idx="116">
                  <c:v>0.99988091693956538</c:v>
                </c:pt>
                <c:pt idx="117">
                  <c:v>0.99988091693956538</c:v>
                </c:pt>
                <c:pt idx="118">
                  <c:v>1</c:v>
                </c:pt>
              </c:numCache>
            </c:numRef>
          </c:xVal>
          <c:y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2.800862666623948</c:v>
                </c:pt>
                <c:pt idx="35">
                  <c:v>2.6485652728460942</c:v>
                </c:pt>
                <c:pt idx="36">
                  <c:v>2.5206283069132387</c:v>
                </c:pt>
                <c:pt idx="37">
                  <c:v>2.2459224000871139</c:v>
                </c:pt>
                <c:pt idx="38">
                  <c:v>1.9215430892109111</c:v>
                </c:pt>
                <c:pt idx="39">
                  <c:v>1.761730336243899</c:v>
                </c:pt>
                <c:pt idx="40">
                  <c:v>1.6624924049613949</c:v>
                </c:pt>
                <c:pt idx="41">
                  <c:v>1.5552474141660459</c:v>
                </c:pt>
                <c:pt idx="42">
                  <c:v>1.4014210097255899</c:v>
                </c:pt>
                <c:pt idx="43">
                  <c:v>1.2645633797591351</c:v>
                </c:pt>
                <c:pt idx="44">
                  <c:v>1.1750217513704304</c:v>
                </c:pt>
                <c:pt idx="45">
                  <c:v>1.0535815655016694</c:v>
                </c:pt>
                <c:pt idx="46">
                  <c:v>0.97955324326512316</c:v>
                </c:pt>
                <c:pt idx="47">
                  <c:v>0.90691344427452047</c:v>
                </c:pt>
                <c:pt idx="48">
                  <c:v>0.81932647021703398</c:v>
                </c:pt>
                <c:pt idx="49">
                  <c:v>0.75593953849833495</c:v>
                </c:pt>
                <c:pt idx="50">
                  <c:v>0.69398094653352937</c:v>
                </c:pt>
                <c:pt idx="51">
                  <c:v>0.62868312660270043</c:v>
                </c:pt>
                <c:pt idx="52">
                  <c:v>0.57610545726463724</c:v>
                </c:pt>
                <c:pt idx="53">
                  <c:v>0.52860582847665105</c:v>
                </c:pt>
                <c:pt idx="54">
                  <c:v>0.48150354960340241</c:v>
                </c:pt>
                <c:pt idx="55">
                  <c:v>0.44217834913327764</c:v>
                </c:pt>
                <c:pt idx="56">
                  <c:v>0.4033546116843279</c:v>
                </c:pt>
                <c:pt idx="57">
                  <c:v>0.36749320471202113</c:v>
                </c:pt>
                <c:pt idx="58">
                  <c:v>0.33648248547460879</c:v>
                </c:pt>
                <c:pt idx="59">
                  <c:v>0.30733713807668228</c:v>
                </c:pt>
                <c:pt idx="60">
                  <c:v>0.28082674273655089</c:v>
                </c:pt>
                <c:pt idx="61">
                  <c:v>0.25691071569306806</c:v>
                </c:pt>
                <c:pt idx="62">
                  <c:v>0.23444036310871053</c:v>
                </c:pt>
                <c:pt idx="63">
                  <c:v>0.21375841553926667</c:v>
                </c:pt>
                <c:pt idx="64">
                  <c:v>0.19567749203000978</c:v>
                </c:pt>
                <c:pt idx="65">
                  <c:v>0.17879536920199107</c:v>
                </c:pt>
                <c:pt idx="66">
                  <c:v>0.16322942450825756</c:v>
                </c:pt>
                <c:pt idx="67">
                  <c:v>0.1495201051710035</c:v>
                </c:pt>
                <c:pt idx="68">
                  <c:v>0.13643315680897014</c:v>
                </c:pt>
                <c:pt idx="69">
                  <c:v>0.12468022372752494</c:v>
                </c:pt>
                <c:pt idx="70">
                  <c:v>0.11381580118249109</c:v>
                </c:pt>
                <c:pt idx="71">
                  <c:v>0.10388796979883851</c:v>
                </c:pt>
                <c:pt idx="72">
                  <c:v>9.5129290084311827E-2</c:v>
                </c:pt>
                <c:pt idx="73">
                  <c:v>8.7335323653103467E-2</c:v>
                </c:pt>
                <c:pt idx="74">
                  <c:v>7.9851694718885827E-2</c:v>
                </c:pt>
                <c:pt idx="75">
                  <c:v>7.2864537758215109E-2</c:v>
                </c:pt>
                <c:pt idx="76">
                  <c:v>6.6527898995881407E-2</c:v>
                </c:pt>
                <c:pt idx="77">
                  <c:v>6.073942813477607E-2</c:v>
                </c:pt>
                <c:pt idx="78">
                  <c:v>5.5621322239014552E-2</c:v>
                </c:pt>
                <c:pt idx="79">
                  <c:v>5.0629447870088051E-2</c:v>
                </c:pt>
                <c:pt idx="80">
                  <c:v>4.6338419178811971E-2</c:v>
                </c:pt>
                <c:pt idx="81">
                  <c:v>4.2474033136904663E-2</c:v>
                </c:pt>
                <c:pt idx="82">
                  <c:v>3.8717510437544664E-2</c:v>
                </c:pt>
                <c:pt idx="83">
                  <c:v>3.5418348542876989E-2</c:v>
                </c:pt>
                <c:pt idx="84">
                  <c:v>3.2405090639946531E-2</c:v>
                </c:pt>
                <c:pt idx="85">
                  <c:v>2.9588324011828898E-2</c:v>
                </c:pt>
                <c:pt idx="86">
                  <c:v>2.7049950445521286E-2</c:v>
                </c:pt>
                <c:pt idx="87">
                  <c:v>2.4721505775130905E-2</c:v>
                </c:pt>
                <c:pt idx="88">
                  <c:v>2.2586898203180588E-2</c:v>
                </c:pt>
                <c:pt idx="89">
                  <c:v>2.0660411915057922E-2</c:v>
                </c:pt>
                <c:pt idx="90">
                  <c:v>1.8912266351586215E-2</c:v>
                </c:pt>
                <c:pt idx="91">
                  <c:v>1.7273345163309601E-2</c:v>
                </c:pt>
                <c:pt idx="92">
                  <c:v>1.5785767132851666E-2</c:v>
                </c:pt>
                <c:pt idx="93">
                  <c:v>1.4420173151760904E-2</c:v>
                </c:pt>
                <c:pt idx="94">
                  <c:v>1.3194143859068811E-2</c:v>
                </c:pt>
                <c:pt idx="95">
                  <c:v>1.2050994385508901E-2</c:v>
                </c:pt>
                <c:pt idx="96">
                  <c:v>1.10210315734407E-2</c:v>
                </c:pt>
                <c:pt idx="97">
                  <c:v>1.00767011130366E-2</c:v>
                </c:pt>
                <c:pt idx="98">
                  <c:v>9.2054091206433871E-3</c:v>
                </c:pt>
                <c:pt idx="99">
                  <c:v>8.4121616607892285E-3</c:v>
                </c:pt>
                <c:pt idx="100">
                  <c:v>7.7046864350422328E-3</c:v>
                </c:pt>
                <c:pt idx="101">
                  <c:v>7.0524811711079136E-3</c:v>
                </c:pt>
                <c:pt idx="102">
                  <c:v>6.4114334569353761E-3</c:v>
                </c:pt>
                <c:pt idx="103">
                  <c:v>5.8771500789801248E-3</c:v>
                </c:pt>
                <c:pt idx="104">
                  <c:v>5.3615062376840784E-3</c:v>
                </c:pt>
                <c:pt idx="105">
                  <c:v>4.9028387738509985E-3</c:v>
                </c:pt>
                <c:pt idx="106">
                  <c:v>4.4945861955972711E-3</c:v>
                </c:pt>
                <c:pt idx="107">
                  <c:v>4.1111816534771814E-3</c:v>
                </c:pt>
                <c:pt idx="108">
                  <c:v>3.7571634573247935E-3</c:v>
                </c:pt>
                <c:pt idx="109">
                  <c:v>3.4333194731479342E-3</c:v>
                </c:pt>
                <c:pt idx="110">
                  <c:v>3.1286838010273865E-3</c:v>
                </c:pt>
                <c:pt idx="111">
                  <c:v>2.8651283087886745E-3</c:v>
                </c:pt>
                <c:pt idx="112">
                  <c:v>2.6197362553810988E-3</c:v>
                </c:pt>
                <c:pt idx="113">
                  <c:v>2.3942408742531176E-3</c:v>
                </c:pt>
                <c:pt idx="114">
                  <c:v>2.188623400312938E-3</c:v>
                </c:pt>
                <c:pt idx="115">
                  <c:v>2.0023025259415252E-3</c:v>
                </c:pt>
                <c:pt idx="116">
                  <c:v>1.8304424156820396E-3</c:v>
                </c:pt>
                <c:pt idx="117">
                  <c:v>1.6736522058795364E-3</c:v>
                </c:pt>
                <c:pt idx="118">
                  <c:v>1.5420795998883601E-3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3162752"/>
        <c:axId val="53165440"/>
      </c:scatterChart>
      <c:valAx>
        <c:axId val="53162752"/>
        <c:scaling>
          <c:orientation val="maxMin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Mercury Saturation, fraction pore space</a:t>
                </a:r>
              </a:p>
            </c:rich>
          </c:tx>
          <c:layout>
            <c:manualLayout>
              <c:xMode val="edge"/>
              <c:yMode val="edge"/>
              <c:x val="0.284037558685446"/>
              <c:y val="0.9407172928887246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53165440"/>
        <c:crossesAt val="1.0000000000000041E-3"/>
        <c:crossBetween val="midCat"/>
        <c:majorUnit val="0.2"/>
        <c:minorUnit val="0.1"/>
      </c:valAx>
      <c:valAx>
        <c:axId val="53165440"/>
        <c:scaling>
          <c:logBase val="10"/>
          <c:orientation val="minMax"/>
          <c:max val="1000"/>
          <c:min val="1.0000000000000041E-3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Pore Throat Radius, microns.</a:t>
                </a:r>
              </a:p>
            </c:rich>
          </c:tx>
          <c:layout>
            <c:manualLayout>
              <c:xMode val="edge"/>
              <c:yMode val="edge"/>
              <c:x val="1.7605633802816906E-2"/>
              <c:y val="0.288590956331800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53162752"/>
        <c:crosses val="max"/>
        <c:crossBetween val="midCat"/>
        <c:majorUnit val="10"/>
        <c:minorUnit val="10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16901411284906759"/>
          <c:y val="6.0402679443359433E-2"/>
          <c:w val="0.4260563032526869"/>
          <c:h val="9.395972963363406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</a:ln>
      </c:spPr>
      <c:txPr>
        <a:bodyPr/>
        <a:lstStyle/>
        <a:p>
          <a:pPr>
            <a:defRPr sz="505"/>
          </a:pPr>
          <a:endParaRPr lang="en-US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3175">
      <a:solidFill>
        <a:sysClr val="windowText" lastClr="000000"/>
      </a:solidFill>
    </a:ln>
  </c:spPr>
  <c:txPr>
    <a:bodyPr/>
    <a:lstStyle/>
    <a:p>
      <a:pPr>
        <a:defRPr sz="600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0">
                <a:latin typeface="Arial"/>
              </a:rPr>
              <a:t>Normalized  Data V.S. Pore Size Distrubition</a:t>
            </a:r>
          </a:p>
        </c:rich>
      </c:tx>
      <c:layout>
        <c:manualLayout>
          <c:xMode val="edge"/>
          <c:yMode val="edge"/>
          <c:x val="0.34320591413962531"/>
          <c:y val="5.31265197201520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30384661626489"/>
          <c:y val="0.16126507112319541"/>
          <c:w val="0.81528794194843257"/>
          <c:h val="0.67664041994752278"/>
        </c:manualLayout>
      </c:layout>
      <c:scatterChart>
        <c:scatterStyle val="lineMarker"/>
        <c:varyColors val="0"/>
        <c:ser>
          <c:idx val="0"/>
          <c:order val="0"/>
          <c:tx>
            <c:v>Normalized Pore Size Distribution</c:v>
          </c:tx>
          <c:spPr>
            <a:ln w="15875">
              <a:solidFill>
                <a:schemeClr val="dk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75000"/>
                </a:schemeClr>
              </a:solidFill>
              <a:ln>
                <a:solidFill>
                  <a:schemeClr val="dk2">
                    <a:lumMod val="75000"/>
                  </a:schemeClr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2.800862666623948</c:v>
                </c:pt>
                <c:pt idx="35">
                  <c:v>2.6485652728460942</c:v>
                </c:pt>
                <c:pt idx="36">
                  <c:v>2.5206283069132387</c:v>
                </c:pt>
                <c:pt idx="37">
                  <c:v>2.2459224000871139</c:v>
                </c:pt>
                <c:pt idx="38">
                  <c:v>1.9215430892109111</c:v>
                </c:pt>
                <c:pt idx="39">
                  <c:v>1.761730336243899</c:v>
                </c:pt>
                <c:pt idx="40">
                  <c:v>1.6624924049613949</c:v>
                </c:pt>
                <c:pt idx="41">
                  <c:v>1.5552474141660459</c:v>
                </c:pt>
                <c:pt idx="42">
                  <c:v>1.4014210097255899</c:v>
                </c:pt>
                <c:pt idx="43">
                  <c:v>1.2645633797591351</c:v>
                </c:pt>
                <c:pt idx="44">
                  <c:v>1.1750217513704304</c:v>
                </c:pt>
                <c:pt idx="45">
                  <c:v>1.0535815655016694</c:v>
                </c:pt>
                <c:pt idx="46">
                  <c:v>0.97955324326512316</c:v>
                </c:pt>
                <c:pt idx="47">
                  <c:v>0.90691344427452047</c:v>
                </c:pt>
                <c:pt idx="48">
                  <c:v>0.81932647021703398</c:v>
                </c:pt>
                <c:pt idx="49">
                  <c:v>0.75593953849833495</c:v>
                </c:pt>
                <c:pt idx="50">
                  <c:v>0.69398094653352937</c:v>
                </c:pt>
                <c:pt idx="51">
                  <c:v>0.62868312660270043</c:v>
                </c:pt>
                <c:pt idx="52">
                  <c:v>0.57610545726463724</c:v>
                </c:pt>
                <c:pt idx="53">
                  <c:v>0.52860582847665105</c:v>
                </c:pt>
                <c:pt idx="54">
                  <c:v>0.48150354960340241</c:v>
                </c:pt>
                <c:pt idx="55">
                  <c:v>0.44217834913327764</c:v>
                </c:pt>
                <c:pt idx="56">
                  <c:v>0.4033546116843279</c:v>
                </c:pt>
                <c:pt idx="57">
                  <c:v>0.36749320471202113</c:v>
                </c:pt>
                <c:pt idx="58">
                  <c:v>0.33648248547460879</c:v>
                </c:pt>
                <c:pt idx="59">
                  <c:v>0.30733713807668228</c:v>
                </c:pt>
                <c:pt idx="60">
                  <c:v>0.28082674273655089</c:v>
                </c:pt>
                <c:pt idx="61">
                  <c:v>0.25691071569306806</c:v>
                </c:pt>
                <c:pt idx="62">
                  <c:v>0.23444036310871053</c:v>
                </c:pt>
                <c:pt idx="63">
                  <c:v>0.21375841553926667</c:v>
                </c:pt>
                <c:pt idx="64">
                  <c:v>0.19567749203000978</c:v>
                </c:pt>
                <c:pt idx="65">
                  <c:v>0.17879536920199107</c:v>
                </c:pt>
                <c:pt idx="66">
                  <c:v>0.16322942450825756</c:v>
                </c:pt>
                <c:pt idx="67">
                  <c:v>0.1495201051710035</c:v>
                </c:pt>
                <c:pt idx="68">
                  <c:v>0.13643315680897014</c:v>
                </c:pt>
                <c:pt idx="69">
                  <c:v>0.12468022372752494</c:v>
                </c:pt>
                <c:pt idx="70">
                  <c:v>0.11381580118249109</c:v>
                </c:pt>
                <c:pt idx="71">
                  <c:v>0.10388796979883851</c:v>
                </c:pt>
                <c:pt idx="72">
                  <c:v>9.5129290084311827E-2</c:v>
                </c:pt>
                <c:pt idx="73">
                  <c:v>8.7335323653103467E-2</c:v>
                </c:pt>
                <c:pt idx="74">
                  <c:v>7.9851694718885827E-2</c:v>
                </c:pt>
                <c:pt idx="75">
                  <c:v>7.2864537758215109E-2</c:v>
                </c:pt>
                <c:pt idx="76">
                  <c:v>6.6527898995881407E-2</c:v>
                </c:pt>
                <c:pt idx="77">
                  <c:v>6.073942813477607E-2</c:v>
                </c:pt>
                <c:pt idx="78">
                  <c:v>5.5621322239014552E-2</c:v>
                </c:pt>
                <c:pt idx="79">
                  <c:v>5.0629447870088051E-2</c:v>
                </c:pt>
                <c:pt idx="80">
                  <c:v>4.6338419178811971E-2</c:v>
                </c:pt>
                <c:pt idx="81">
                  <c:v>4.2474033136904663E-2</c:v>
                </c:pt>
                <c:pt idx="82">
                  <c:v>3.8717510437544664E-2</c:v>
                </c:pt>
                <c:pt idx="83">
                  <c:v>3.5418348542876989E-2</c:v>
                </c:pt>
                <c:pt idx="84">
                  <c:v>3.2405090639946531E-2</c:v>
                </c:pt>
                <c:pt idx="85">
                  <c:v>2.9588324011828898E-2</c:v>
                </c:pt>
                <c:pt idx="86">
                  <c:v>2.7049950445521286E-2</c:v>
                </c:pt>
                <c:pt idx="87">
                  <c:v>2.4721505775130905E-2</c:v>
                </c:pt>
                <c:pt idx="88">
                  <c:v>2.2586898203180588E-2</c:v>
                </c:pt>
                <c:pt idx="89">
                  <c:v>2.0660411915057922E-2</c:v>
                </c:pt>
                <c:pt idx="90">
                  <c:v>1.8912266351586215E-2</c:v>
                </c:pt>
                <c:pt idx="91">
                  <c:v>1.7273345163309601E-2</c:v>
                </c:pt>
                <c:pt idx="92">
                  <c:v>1.5785767132851666E-2</c:v>
                </c:pt>
                <c:pt idx="93">
                  <c:v>1.4420173151760904E-2</c:v>
                </c:pt>
                <c:pt idx="94">
                  <c:v>1.3194143859068811E-2</c:v>
                </c:pt>
                <c:pt idx="95">
                  <c:v>1.2050994385508901E-2</c:v>
                </c:pt>
                <c:pt idx="96">
                  <c:v>1.10210315734407E-2</c:v>
                </c:pt>
                <c:pt idx="97">
                  <c:v>1.00767011130366E-2</c:v>
                </c:pt>
                <c:pt idx="98">
                  <c:v>9.2054091206433871E-3</c:v>
                </c:pt>
                <c:pt idx="99">
                  <c:v>8.4121616607892285E-3</c:v>
                </c:pt>
                <c:pt idx="100">
                  <c:v>7.7046864350422328E-3</c:v>
                </c:pt>
                <c:pt idx="101">
                  <c:v>7.0524811711079136E-3</c:v>
                </c:pt>
                <c:pt idx="102">
                  <c:v>6.4114334569353761E-3</c:v>
                </c:pt>
                <c:pt idx="103">
                  <c:v>5.8771500789801248E-3</c:v>
                </c:pt>
                <c:pt idx="104">
                  <c:v>5.3615062376840784E-3</c:v>
                </c:pt>
                <c:pt idx="105">
                  <c:v>4.9028387738509985E-3</c:v>
                </c:pt>
                <c:pt idx="106">
                  <c:v>4.4945861955972711E-3</c:v>
                </c:pt>
                <c:pt idx="107">
                  <c:v>4.1111816534771814E-3</c:v>
                </c:pt>
                <c:pt idx="108">
                  <c:v>3.7571634573247935E-3</c:v>
                </c:pt>
                <c:pt idx="109">
                  <c:v>3.4333194731479342E-3</c:v>
                </c:pt>
                <c:pt idx="110">
                  <c:v>3.1286838010273865E-3</c:v>
                </c:pt>
                <c:pt idx="111">
                  <c:v>2.8651283087886745E-3</c:v>
                </c:pt>
                <c:pt idx="112">
                  <c:v>2.6197362553810988E-3</c:v>
                </c:pt>
                <c:pt idx="113">
                  <c:v>2.3942408742531176E-3</c:v>
                </c:pt>
                <c:pt idx="114">
                  <c:v>2.188623400312938E-3</c:v>
                </c:pt>
                <c:pt idx="115">
                  <c:v>2.0023025259415252E-3</c:v>
                </c:pt>
                <c:pt idx="116">
                  <c:v>1.8304424156820396E-3</c:v>
                </c:pt>
                <c:pt idx="117">
                  <c:v>1.6736522058795364E-3</c:v>
                </c:pt>
                <c:pt idx="118">
                  <c:v>1.5420795998883601E-3</c:v>
                </c:pt>
              </c:numCache>
            </c:numRef>
          </c:xVal>
          <c:yVal>
            <c:numRef>
              <c:f>Table!$S$18:$S$136</c:f>
              <c:numCache>
                <c:formatCode>????0.000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6.7385444743935324E-4</c:v>
                </c:pt>
                <c:pt idx="39">
                  <c:v>6.7385444743935324E-4</c:v>
                </c:pt>
                <c:pt idx="40">
                  <c:v>1.3477088948787065E-3</c:v>
                </c:pt>
                <c:pt idx="41">
                  <c:v>5.3908355795148251E-3</c:v>
                </c:pt>
                <c:pt idx="42">
                  <c:v>2.1563342318059304E-2</c:v>
                </c:pt>
                <c:pt idx="43">
                  <c:v>2.8975741239892182E-2</c:v>
                </c:pt>
                <c:pt idx="44">
                  <c:v>3.2345013477088951E-2</c:v>
                </c:pt>
                <c:pt idx="45">
                  <c:v>0.10107816711590301</c:v>
                </c:pt>
                <c:pt idx="46">
                  <c:v>0.12196765498652293</c:v>
                </c:pt>
                <c:pt idx="47">
                  <c:v>0.28234501347708896</c:v>
                </c:pt>
                <c:pt idx="48">
                  <c:v>0.55188679245283023</c:v>
                </c:pt>
                <c:pt idx="49">
                  <c:v>0.70080862533692723</c:v>
                </c:pt>
                <c:pt idx="50">
                  <c:v>0.87129380053908412</c:v>
                </c:pt>
                <c:pt idx="51">
                  <c:v>1</c:v>
                </c:pt>
                <c:pt idx="52">
                  <c:v>0.560646900269542</c:v>
                </c:pt>
                <c:pt idx="53">
                  <c:v>0.37196765498652296</c:v>
                </c:pt>
                <c:pt idx="54">
                  <c:v>0.31064690026954173</c:v>
                </c:pt>
                <c:pt idx="55">
                  <c:v>0.28773584905660349</c:v>
                </c:pt>
                <c:pt idx="56">
                  <c:v>0.27021563342318122</c:v>
                </c:pt>
                <c:pt idx="57">
                  <c:v>0.24797843665768154</c:v>
                </c:pt>
                <c:pt idx="58">
                  <c:v>0.22708894878706273</c:v>
                </c:pt>
                <c:pt idx="59">
                  <c:v>0.22102425876010701</c:v>
                </c:pt>
                <c:pt idx="60">
                  <c:v>0.20417789757412452</c:v>
                </c:pt>
                <c:pt idx="61">
                  <c:v>0.20080862533692675</c:v>
                </c:pt>
                <c:pt idx="62">
                  <c:v>0.19474393530997355</c:v>
                </c:pt>
                <c:pt idx="63">
                  <c:v>0.19002695417789744</c:v>
                </c:pt>
                <c:pt idx="64">
                  <c:v>0.17722371967654998</c:v>
                </c:pt>
                <c:pt idx="65">
                  <c:v>0.1745283018867933</c:v>
                </c:pt>
                <c:pt idx="66">
                  <c:v>0.17520215633423183</c:v>
                </c:pt>
                <c:pt idx="67">
                  <c:v>0.16509433962264108</c:v>
                </c:pt>
                <c:pt idx="68">
                  <c:v>0.16307277628032293</c:v>
                </c:pt>
                <c:pt idx="69">
                  <c:v>0.15700808625336848</c:v>
                </c:pt>
                <c:pt idx="70">
                  <c:v>0.15431266846361305</c:v>
                </c:pt>
                <c:pt idx="71">
                  <c:v>0.14892183288409713</c:v>
                </c:pt>
                <c:pt idx="72">
                  <c:v>0.14420485175202102</c:v>
                </c:pt>
                <c:pt idx="73">
                  <c:v>0.13477088948787008</c:v>
                </c:pt>
                <c:pt idx="74">
                  <c:v>0.13746630727762801</c:v>
                </c:pt>
                <c:pt idx="75">
                  <c:v>0.13477088948787133</c:v>
                </c:pt>
                <c:pt idx="76">
                  <c:v>0.12803234501347832</c:v>
                </c:pt>
                <c:pt idx="77">
                  <c:v>0.12331536388140096</c:v>
                </c:pt>
                <c:pt idx="78">
                  <c:v>0.11792452830188631</c:v>
                </c:pt>
                <c:pt idx="79">
                  <c:v>0.11792452830188631</c:v>
                </c:pt>
                <c:pt idx="80">
                  <c:v>0.10983827493261496</c:v>
                </c:pt>
                <c:pt idx="81">
                  <c:v>0.10309973045822196</c:v>
                </c:pt>
                <c:pt idx="82">
                  <c:v>0.1064690026954172</c:v>
                </c:pt>
                <c:pt idx="83">
                  <c:v>9.9056603773585661E-2</c:v>
                </c:pt>
                <c:pt idx="84">
                  <c:v>9.3665768194069757E-2</c:v>
                </c:pt>
                <c:pt idx="85">
                  <c:v>9.5687331536387907E-2</c:v>
                </c:pt>
                <c:pt idx="86">
                  <c:v>8.9622641509433443E-2</c:v>
                </c:pt>
                <c:pt idx="87">
                  <c:v>8.7601078167116556E-2</c:v>
                </c:pt>
                <c:pt idx="88">
                  <c:v>8.4231805929918788E-2</c:v>
                </c:pt>
                <c:pt idx="89">
                  <c:v>8.4231805929918788E-2</c:v>
                </c:pt>
                <c:pt idx="90">
                  <c:v>8.018867924528375E-2</c:v>
                </c:pt>
                <c:pt idx="91">
                  <c:v>7.0754716981131532E-2</c:v>
                </c:pt>
                <c:pt idx="92">
                  <c:v>7.4123989218329286E-2</c:v>
                </c:pt>
                <c:pt idx="93">
                  <c:v>6.9407008086253191E-2</c:v>
                </c:pt>
                <c:pt idx="94">
                  <c:v>6.4690026954178331E-2</c:v>
                </c:pt>
                <c:pt idx="95">
                  <c:v>6.1320754716980584E-2</c:v>
                </c:pt>
                <c:pt idx="96">
                  <c:v>5.4582210242587581E-2</c:v>
                </c:pt>
                <c:pt idx="97">
                  <c:v>5.9973045822103485E-2</c:v>
                </c:pt>
                <c:pt idx="98">
                  <c:v>4.8517520215631868E-2</c:v>
                </c:pt>
                <c:pt idx="99">
                  <c:v>4.851752021563438E-2</c:v>
                </c:pt>
                <c:pt idx="100">
                  <c:v>4.1778975741240121E-2</c:v>
                </c:pt>
                <c:pt idx="101">
                  <c:v>4.1105121293800319E-2</c:v>
                </c:pt>
                <c:pt idx="102">
                  <c:v>3.9083557951482169E-2</c:v>
                </c:pt>
                <c:pt idx="103">
                  <c:v>3.5714285714285671E-2</c:v>
                </c:pt>
                <c:pt idx="104">
                  <c:v>3.0323450134771019E-2</c:v>
                </c:pt>
                <c:pt idx="105">
                  <c:v>2.8301886792452866E-2</c:v>
                </c:pt>
                <c:pt idx="106">
                  <c:v>2.8975741239892668E-2</c:v>
                </c:pt>
                <c:pt idx="107">
                  <c:v>2.3584905660378016E-2</c:v>
                </c:pt>
                <c:pt idx="108">
                  <c:v>2.4258760107815306E-2</c:v>
                </c:pt>
                <c:pt idx="109">
                  <c:v>2.2237196765498412E-2</c:v>
                </c:pt>
                <c:pt idx="110">
                  <c:v>4.7169811320748496E-3</c:v>
                </c:pt>
                <c:pt idx="111">
                  <c:v>2.0215633423181514E-2</c:v>
                </c:pt>
                <c:pt idx="112">
                  <c:v>6.0646900269544545E-3</c:v>
                </c:pt>
                <c:pt idx="113">
                  <c:v>8.7601078167111532E-3</c:v>
                </c:pt>
                <c:pt idx="114">
                  <c:v>5.3908355795146525E-3</c:v>
                </c:pt>
                <c:pt idx="115">
                  <c:v>4.0431266846375595E-3</c:v>
                </c:pt>
                <c:pt idx="116">
                  <c:v>4.7169811320748496E-3</c:v>
                </c:pt>
                <c:pt idx="117">
                  <c:v>0</c:v>
                </c:pt>
                <c:pt idx="118">
                  <c:v>1.3477088948783489E-3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03040"/>
        <c:axId val="54130944"/>
      </c:scatterChart>
      <c:valAx>
        <c:axId val="54103040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Pore Throat Radius (Microns)</a:t>
                </a:r>
              </a:p>
            </c:rich>
          </c:tx>
          <c:layout>
            <c:manualLayout>
              <c:xMode val="edge"/>
              <c:yMode val="edge"/>
              <c:x val="0.40037962382730313"/>
              <c:y val="0.92577462934190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54130944"/>
        <c:crosses val="autoZero"/>
        <c:crossBetween val="midCat"/>
      </c:valAx>
      <c:valAx>
        <c:axId val="54130944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Dristubition Function</a:t>
                </a:r>
              </a:p>
            </c:rich>
          </c:tx>
          <c:layout>
            <c:manualLayout>
              <c:xMode val="edge"/>
              <c:yMode val="edge"/>
              <c:x val="3.5392202272293852E-2"/>
              <c:y val="0.30886858206270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54103040"/>
        <c:crossesAt val="1.0000000000000041E-3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chemeClr val="dk1"/>
      </a:solidFill>
    </a:ln>
  </c:spPr>
  <c:txPr>
    <a:bodyPr/>
    <a:lstStyle/>
    <a:p>
      <a:pPr>
        <a:defRPr sz="8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844" r="0.75000000000000844" t="1" header="0.5" footer="0.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1">
                <a:latin typeface="Arial"/>
              </a:rPr>
              <a:t>Saturation vs Log Pore Throat Size</a:t>
            </a:r>
          </a:p>
        </c:rich>
      </c:tx>
      <c:layout>
        <c:manualLayout>
          <c:xMode val="edge"/>
          <c:yMode val="edge"/>
          <c:x val="0.33093532012654897"/>
          <c:y val="3.1042222084444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664490420478818"/>
          <c:y val="0.10419268510258722"/>
          <c:w val="0.79829436705027268"/>
          <c:h val="0.76090414211159918"/>
        </c:manualLayout>
      </c:layout>
      <c:scatterChart>
        <c:scatterStyle val="smoothMarker"/>
        <c:varyColors val="0"/>
        <c:ser>
          <c:idx val="0"/>
          <c:order val="0"/>
          <c:tx>
            <c:v>Sat. (Frac)</c:v>
          </c:tx>
          <c:spPr>
            <a:ln w="12700">
              <a:solidFill>
                <a:srgbClr val="800080"/>
              </a:solidFill>
            </a:ln>
          </c:spPr>
          <c:marker>
            <c:symbol val="diamond"/>
            <c:size val="3"/>
            <c:spPr>
              <a:solidFill>
                <a:srgbClr val="800080"/>
              </a:solidFill>
              <a:ln>
                <a:solidFill>
                  <a:srgbClr val="800080"/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2.800862666623948</c:v>
                </c:pt>
                <c:pt idx="35">
                  <c:v>2.6485652728460942</c:v>
                </c:pt>
                <c:pt idx="36">
                  <c:v>2.5206283069132387</c:v>
                </c:pt>
                <c:pt idx="37">
                  <c:v>2.2459224000871139</c:v>
                </c:pt>
                <c:pt idx="38">
                  <c:v>1.9215430892109111</c:v>
                </c:pt>
                <c:pt idx="39">
                  <c:v>1.761730336243899</c:v>
                </c:pt>
                <c:pt idx="40">
                  <c:v>1.6624924049613949</c:v>
                </c:pt>
                <c:pt idx="41">
                  <c:v>1.5552474141660459</c:v>
                </c:pt>
                <c:pt idx="42">
                  <c:v>1.4014210097255899</c:v>
                </c:pt>
                <c:pt idx="43">
                  <c:v>1.2645633797591351</c:v>
                </c:pt>
                <c:pt idx="44">
                  <c:v>1.1750217513704304</c:v>
                </c:pt>
                <c:pt idx="45">
                  <c:v>1.0535815655016694</c:v>
                </c:pt>
                <c:pt idx="46">
                  <c:v>0.97955324326512316</c:v>
                </c:pt>
                <c:pt idx="47">
                  <c:v>0.90691344427452047</c:v>
                </c:pt>
                <c:pt idx="48">
                  <c:v>0.81932647021703398</c:v>
                </c:pt>
                <c:pt idx="49">
                  <c:v>0.75593953849833495</c:v>
                </c:pt>
                <c:pt idx="50">
                  <c:v>0.69398094653352937</c:v>
                </c:pt>
                <c:pt idx="51">
                  <c:v>0.62868312660270043</c:v>
                </c:pt>
                <c:pt idx="52">
                  <c:v>0.57610545726463724</c:v>
                </c:pt>
                <c:pt idx="53">
                  <c:v>0.52860582847665105</c:v>
                </c:pt>
                <c:pt idx="54">
                  <c:v>0.48150354960340241</c:v>
                </c:pt>
                <c:pt idx="55">
                  <c:v>0.44217834913327764</c:v>
                </c:pt>
                <c:pt idx="56">
                  <c:v>0.4033546116843279</c:v>
                </c:pt>
                <c:pt idx="57">
                  <c:v>0.36749320471202113</c:v>
                </c:pt>
                <c:pt idx="58">
                  <c:v>0.33648248547460879</c:v>
                </c:pt>
                <c:pt idx="59">
                  <c:v>0.30733713807668228</c:v>
                </c:pt>
                <c:pt idx="60">
                  <c:v>0.28082674273655089</c:v>
                </c:pt>
                <c:pt idx="61">
                  <c:v>0.25691071569306806</c:v>
                </c:pt>
                <c:pt idx="62">
                  <c:v>0.23444036310871053</c:v>
                </c:pt>
                <c:pt idx="63">
                  <c:v>0.21375841553926667</c:v>
                </c:pt>
                <c:pt idx="64">
                  <c:v>0.19567749203000978</c:v>
                </c:pt>
                <c:pt idx="65">
                  <c:v>0.17879536920199107</c:v>
                </c:pt>
                <c:pt idx="66">
                  <c:v>0.16322942450825756</c:v>
                </c:pt>
                <c:pt idx="67">
                  <c:v>0.1495201051710035</c:v>
                </c:pt>
                <c:pt idx="68">
                  <c:v>0.13643315680897014</c:v>
                </c:pt>
                <c:pt idx="69">
                  <c:v>0.12468022372752494</c:v>
                </c:pt>
                <c:pt idx="70">
                  <c:v>0.11381580118249109</c:v>
                </c:pt>
                <c:pt idx="71">
                  <c:v>0.10388796979883851</c:v>
                </c:pt>
                <c:pt idx="72">
                  <c:v>9.5129290084311827E-2</c:v>
                </c:pt>
                <c:pt idx="73">
                  <c:v>8.7335323653103467E-2</c:v>
                </c:pt>
                <c:pt idx="74">
                  <c:v>7.9851694718885827E-2</c:v>
                </c:pt>
                <c:pt idx="75">
                  <c:v>7.2864537758215109E-2</c:v>
                </c:pt>
                <c:pt idx="76">
                  <c:v>6.6527898995881407E-2</c:v>
                </c:pt>
                <c:pt idx="77">
                  <c:v>6.073942813477607E-2</c:v>
                </c:pt>
                <c:pt idx="78">
                  <c:v>5.5621322239014552E-2</c:v>
                </c:pt>
                <c:pt idx="79">
                  <c:v>5.0629447870088051E-2</c:v>
                </c:pt>
                <c:pt idx="80">
                  <c:v>4.6338419178811971E-2</c:v>
                </c:pt>
                <c:pt idx="81">
                  <c:v>4.2474033136904663E-2</c:v>
                </c:pt>
                <c:pt idx="82">
                  <c:v>3.8717510437544664E-2</c:v>
                </c:pt>
                <c:pt idx="83">
                  <c:v>3.5418348542876989E-2</c:v>
                </c:pt>
                <c:pt idx="84">
                  <c:v>3.2405090639946531E-2</c:v>
                </c:pt>
                <c:pt idx="85">
                  <c:v>2.9588324011828898E-2</c:v>
                </c:pt>
                <c:pt idx="86">
                  <c:v>2.7049950445521286E-2</c:v>
                </c:pt>
                <c:pt idx="87">
                  <c:v>2.4721505775130905E-2</c:v>
                </c:pt>
                <c:pt idx="88">
                  <c:v>2.2586898203180588E-2</c:v>
                </c:pt>
                <c:pt idx="89">
                  <c:v>2.0660411915057922E-2</c:v>
                </c:pt>
                <c:pt idx="90">
                  <c:v>1.8912266351586215E-2</c:v>
                </c:pt>
                <c:pt idx="91">
                  <c:v>1.7273345163309601E-2</c:v>
                </c:pt>
                <c:pt idx="92">
                  <c:v>1.5785767132851666E-2</c:v>
                </c:pt>
                <c:pt idx="93">
                  <c:v>1.4420173151760904E-2</c:v>
                </c:pt>
                <c:pt idx="94">
                  <c:v>1.3194143859068811E-2</c:v>
                </c:pt>
                <c:pt idx="95">
                  <c:v>1.2050994385508901E-2</c:v>
                </c:pt>
                <c:pt idx="96">
                  <c:v>1.10210315734407E-2</c:v>
                </c:pt>
                <c:pt idx="97">
                  <c:v>1.00767011130366E-2</c:v>
                </c:pt>
                <c:pt idx="98">
                  <c:v>9.2054091206433871E-3</c:v>
                </c:pt>
                <c:pt idx="99">
                  <c:v>8.4121616607892285E-3</c:v>
                </c:pt>
                <c:pt idx="100">
                  <c:v>7.7046864350422328E-3</c:v>
                </c:pt>
                <c:pt idx="101">
                  <c:v>7.0524811711079136E-3</c:v>
                </c:pt>
                <c:pt idx="102">
                  <c:v>6.4114334569353761E-3</c:v>
                </c:pt>
                <c:pt idx="103">
                  <c:v>5.8771500789801248E-3</c:v>
                </c:pt>
                <c:pt idx="104">
                  <c:v>5.3615062376840784E-3</c:v>
                </c:pt>
                <c:pt idx="105">
                  <c:v>4.9028387738509985E-3</c:v>
                </c:pt>
                <c:pt idx="106">
                  <c:v>4.4945861955972711E-3</c:v>
                </c:pt>
                <c:pt idx="107">
                  <c:v>4.1111816534771814E-3</c:v>
                </c:pt>
                <c:pt idx="108">
                  <c:v>3.7571634573247935E-3</c:v>
                </c:pt>
                <c:pt idx="109">
                  <c:v>3.4333194731479342E-3</c:v>
                </c:pt>
                <c:pt idx="110">
                  <c:v>3.1286838010273865E-3</c:v>
                </c:pt>
                <c:pt idx="111">
                  <c:v>2.8651283087886745E-3</c:v>
                </c:pt>
                <c:pt idx="112">
                  <c:v>2.6197362553810988E-3</c:v>
                </c:pt>
                <c:pt idx="113">
                  <c:v>2.3942408742531176E-3</c:v>
                </c:pt>
                <c:pt idx="114">
                  <c:v>2.188623400312938E-3</c:v>
                </c:pt>
                <c:pt idx="115">
                  <c:v>2.0023025259415252E-3</c:v>
                </c:pt>
                <c:pt idx="116">
                  <c:v>1.8304424156820396E-3</c:v>
                </c:pt>
                <c:pt idx="117">
                  <c:v>1.6736522058795364E-3</c:v>
                </c:pt>
                <c:pt idx="118">
                  <c:v>1.5420795998883601E-3</c:v>
                </c:pt>
              </c:numCache>
            </c:numRef>
          </c:xVal>
          <c:yVal>
            <c:numRef>
              <c:f>'Raw Data'!$E$18:$E$136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5.9541530217328293E-5</c:v>
                </c:pt>
                <c:pt idx="39">
                  <c:v>1.1908306043465245E-4</c:v>
                </c:pt>
                <c:pt idx="40">
                  <c:v>2.381661208693049E-4</c:v>
                </c:pt>
                <c:pt idx="41">
                  <c:v>7.1449836260791889E-4</c:v>
                </c:pt>
                <c:pt idx="42">
                  <c:v>2.6198273295623704E-3</c:v>
                </c:pt>
                <c:pt idx="43">
                  <c:v>5.1801131289074126E-3</c:v>
                </c:pt>
                <c:pt idx="44">
                  <c:v>8.0381065793390886E-3</c:v>
                </c:pt>
                <c:pt idx="45">
                  <c:v>1.6969336111938075E-2</c:v>
                </c:pt>
                <c:pt idx="46">
                  <c:v>2.774635308127419E-2</c:v>
                </c:pt>
                <c:pt idx="47">
                  <c:v>5.2694254242334024E-2</c:v>
                </c:pt>
                <c:pt idx="48">
                  <c:v>0.10145876749032449</c:v>
                </c:pt>
                <c:pt idx="49">
                  <c:v>0.16338195891634413</c:v>
                </c:pt>
                <c:pt idx="50">
                  <c:v>0.24036915748734744</c:v>
                </c:pt>
                <c:pt idx="51">
                  <c:v>0.32872878832986008</c:v>
                </c:pt>
                <c:pt idx="52">
                  <c:v>0.37826734147067581</c:v>
                </c:pt>
                <c:pt idx="53">
                  <c:v>0.41113426615064008</c:v>
                </c:pt>
                <c:pt idx="54">
                  <c:v>0.43858291158082763</c:v>
                </c:pt>
                <c:pt idx="55">
                  <c:v>0.46400714498362605</c:v>
                </c:pt>
                <c:pt idx="56">
                  <c:v>0.48788329860077406</c:v>
                </c:pt>
                <c:pt idx="57">
                  <c:v>0.50979458172075021</c:v>
                </c:pt>
                <c:pt idx="58">
                  <c:v>0.52986007740398933</c:v>
                </c:pt>
                <c:pt idx="59">
                  <c:v>0.54938969931527237</c:v>
                </c:pt>
                <c:pt idx="60">
                  <c:v>0.56743078297112237</c:v>
                </c:pt>
                <c:pt idx="61">
                  <c:v>0.58517415897588565</c:v>
                </c:pt>
                <c:pt idx="62">
                  <c:v>0.60238166120869308</c:v>
                </c:pt>
                <c:pt idx="63">
                  <c:v>0.61917237272997916</c:v>
                </c:pt>
                <c:pt idx="64">
                  <c:v>0.63483179517713606</c:v>
                </c:pt>
                <c:pt idx="65">
                  <c:v>0.65025305150342372</c:v>
                </c:pt>
                <c:pt idx="66">
                  <c:v>0.66573384935992863</c:v>
                </c:pt>
                <c:pt idx="67">
                  <c:v>0.6803215242631736</c:v>
                </c:pt>
                <c:pt idx="68">
                  <c:v>0.69473057457576659</c:v>
                </c:pt>
                <c:pt idx="69">
                  <c:v>0.70860375111640361</c:v>
                </c:pt>
                <c:pt idx="70">
                  <c:v>0.7222387615361715</c:v>
                </c:pt>
                <c:pt idx="71">
                  <c:v>0.73539743971420068</c:v>
                </c:pt>
                <c:pt idx="72">
                  <c:v>0.74813932718070852</c:v>
                </c:pt>
                <c:pt idx="73">
                  <c:v>0.76004763322417379</c:v>
                </c:pt>
                <c:pt idx="74">
                  <c:v>0.77219410538850841</c:v>
                </c:pt>
                <c:pt idx="75">
                  <c:v>0.78410241143197379</c:v>
                </c:pt>
                <c:pt idx="76">
                  <c:v>0.79541530217326595</c:v>
                </c:pt>
                <c:pt idx="77">
                  <c:v>0.80631140220303665</c:v>
                </c:pt>
                <c:pt idx="78">
                  <c:v>0.81673116999106876</c:v>
                </c:pt>
                <c:pt idx="79">
                  <c:v>0.82715093777910087</c:v>
                </c:pt>
                <c:pt idx="80">
                  <c:v>0.83685620720452514</c:v>
                </c:pt>
                <c:pt idx="81">
                  <c:v>0.84596606132777619</c:v>
                </c:pt>
                <c:pt idx="82">
                  <c:v>0.85537362310211373</c:v>
                </c:pt>
                <c:pt idx="83">
                  <c:v>0.86412622804406081</c:v>
                </c:pt>
                <c:pt idx="84">
                  <c:v>0.87240250074426917</c:v>
                </c:pt>
                <c:pt idx="85">
                  <c:v>0.88085739803512952</c:v>
                </c:pt>
                <c:pt idx="86">
                  <c:v>0.88877642155403391</c:v>
                </c:pt>
                <c:pt idx="87">
                  <c:v>0.89651682048228643</c:v>
                </c:pt>
                <c:pt idx="88">
                  <c:v>0.90395951175945222</c:v>
                </c:pt>
                <c:pt idx="89">
                  <c:v>0.91140220303661801</c:v>
                </c:pt>
                <c:pt idx="90">
                  <c:v>0.91848764513247994</c:v>
                </c:pt>
                <c:pt idx="91">
                  <c:v>0.92473950580529918</c:v>
                </c:pt>
                <c:pt idx="92">
                  <c:v>0.93128907412920514</c:v>
                </c:pt>
                <c:pt idx="93">
                  <c:v>0.93742185174158976</c:v>
                </c:pt>
                <c:pt idx="94">
                  <c:v>0.94313783864245315</c:v>
                </c:pt>
                <c:pt idx="95">
                  <c:v>0.94855611789222982</c:v>
                </c:pt>
                <c:pt idx="96">
                  <c:v>0.95337898183983327</c:v>
                </c:pt>
                <c:pt idx="97">
                  <c:v>0.95867817802917543</c:v>
                </c:pt>
                <c:pt idx="98">
                  <c:v>0.96296516820482281</c:v>
                </c:pt>
                <c:pt idx="99">
                  <c:v>0.96725215838047041</c:v>
                </c:pt>
                <c:pt idx="100">
                  <c:v>0.97094373325394467</c:v>
                </c:pt>
                <c:pt idx="101">
                  <c:v>0.97457576659720158</c:v>
                </c:pt>
                <c:pt idx="102">
                  <c:v>0.97802917534980649</c:v>
                </c:pt>
                <c:pt idx="103">
                  <c:v>0.98118487645132479</c:v>
                </c:pt>
                <c:pt idx="104">
                  <c:v>0.9838642453111045</c:v>
                </c:pt>
                <c:pt idx="105">
                  <c:v>0.98636498958023222</c:v>
                </c:pt>
                <c:pt idx="106">
                  <c:v>0.98892527537957731</c:v>
                </c:pt>
                <c:pt idx="107">
                  <c:v>0.99100922893718379</c:v>
                </c:pt>
                <c:pt idx="108">
                  <c:v>0.99315272402500743</c:v>
                </c:pt>
                <c:pt idx="109">
                  <c:v>0.99511759452217918</c:v>
                </c:pt>
                <c:pt idx="110">
                  <c:v>0.99553438523370041</c:v>
                </c:pt>
                <c:pt idx="111">
                  <c:v>0.99732063114022029</c:v>
                </c:pt>
                <c:pt idx="112">
                  <c:v>0.99785650491217626</c:v>
                </c:pt>
                <c:pt idx="113">
                  <c:v>0.99863054480500146</c:v>
                </c:pt>
                <c:pt idx="114">
                  <c:v>0.99910687704674006</c:v>
                </c:pt>
                <c:pt idx="115">
                  <c:v>0.99946412622804415</c:v>
                </c:pt>
                <c:pt idx="116">
                  <c:v>0.99988091693956538</c:v>
                </c:pt>
                <c:pt idx="117">
                  <c:v>0.99988091693956538</c:v>
                </c:pt>
                <c:pt idx="118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61536"/>
        <c:axId val="67757184"/>
      </c:scatterChart>
      <c:valAx>
        <c:axId val="55761536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Log Pore Throat Radius (Microns)</a:t>
                </a:r>
              </a:p>
            </c:rich>
          </c:tx>
          <c:layout>
            <c:manualLayout>
              <c:xMode val="edge"/>
              <c:yMode val="edge"/>
              <c:x val="0.39768561318499929"/>
              <c:y val="0.942799210869595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67757184"/>
        <c:crosses val="autoZero"/>
        <c:crossBetween val="midCat"/>
      </c:valAx>
      <c:valAx>
        <c:axId val="67757184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Mercury Saturation, fractional</a:t>
                </a:r>
              </a:p>
            </c:rich>
          </c:tx>
          <c:layout>
            <c:manualLayout>
              <c:xMode val="edge"/>
              <c:yMode val="edge"/>
              <c:x val="1.7213682297809941E-2"/>
              <c:y val="0.331670401146337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55761536"/>
        <c:crossesAt val="1.0000000000000041E-3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>
      <a:solidFill>
        <a:sysClr val="windowText" lastClr="000000"/>
      </a:solidFill>
    </a:ln>
  </c:spPr>
  <c:txPr>
    <a:bodyPr/>
    <a:lstStyle/>
    <a:p>
      <a:pPr>
        <a:defRPr sz="825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966" r="0.75000000000000966" t="1" header="0.5" footer="0.5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1">
                <a:latin typeface="Arial"/>
              </a:rPr>
              <a:t>d Sw / d Log Pore Throat Size vs Log Pore Throat Size</a:t>
            </a:r>
          </a:p>
        </c:rich>
      </c:tx>
      <c:layout>
        <c:manualLayout>
          <c:xMode val="edge"/>
          <c:yMode val="edge"/>
          <c:x val="0.2429618814204548"/>
          <c:y val="3.10126151025640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48905544897"/>
          <c:y val="0.10031489965429066"/>
          <c:w val="0.81356164375743056"/>
          <c:h val="0.76537560680389582"/>
        </c:manualLayout>
      </c:layout>
      <c:scatterChart>
        <c:scatterStyle val="smoothMarker"/>
        <c:varyColors val="0"/>
        <c:ser>
          <c:idx val="0"/>
          <c:order val="0"/>
          <c:tx>
            <c:v>Sat. (Frac)</c:v>
          </c:tx>
          <c:spPr>
            <a:ln w="12700">
              <a:solidFill>
                <a:srgbClr val="FF0000"/>
              </a:solidFill>
            </a:ln>
          </c:spPr>
          <c:marker>
            <c:symbol val="diamond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2.800862666623948</c:v>
                </c:pt>
                <c:pt idx="35">
                  <c:v>2.6485652728460942</c:v>
                </c:pt>
                <c:pt idx="36">
                  <c:v>2.5206283069132387</c:v>
                </c:pt>
                <c:pt idx="37">
                  <c:v>2.2459224000871139</c:v>
                </c:pt>
                <c:pt idx="38">
                  <c:v>1.9215430892109111</c:v>
                </c:pt>
                <c:pt idx="39">
                  <c:v>1.761730336243899</c:v>
                </c:pt>
                <c:pt idx="40">
                  <c:v>1.6624924049613949</c:v>
                </c:pt>
                <c:pt idx="41">
                  <c:v>1.5552474141660459</c:v>
                </c:pt>
                <c:pt idx="42">
                  <c:v>1.4014210097255899</c:v>
                </c:pt>
                <c:pt idx="43">
                  <c:v>1.2645633797591351</c:v>
                </c:pt>
                <c:pt idx="44">
                  <c:v>1.1750217513704304</c:v>
                </c:pt>
                <c:pt idx="45">
                  <c:v>1.0535815655016694</c:v>
                </c:pt>
                <c:pt idx="46">
                  <c:v>0.97955324326512316</c:v>
                </c:pt>
                <c:pt idx="47">
                  <c:v>0.90691344427452047</c:v>
                </c:pt>
                <c:pt idx="48">
                  <c:v>0.81932647021703398</c:v>
                </c:pt>
                <c:pt idx="49">
                  <c:v>0.75593953849833495</c:v>
                </c:pt>
                <c:pt idx="50">
                  <c:v>0.69398094653352937</c:v>
                </c:pt>
                <c:pt idx="51">
                  <c:v>0.62868312660270043</c:v>
                </c:pt>
                <c:pt idx="52">
                  <c:v>0.57610545726463724</c:v>
                </c:pt>
                <c:pt idx="53">
                  <c:v>0.52860582847665105</c:v>
                </c:pt>
                <c:pt idx="54">
                  <c:v>0.48150354960340241</c:v>
                </c:pt>
                <c:pt idx="55">
                  <c:v>0.44217834913327764</c:v>
                </c:pt>
                <c:pt idx="56">
                  <c:v>0.4033546116843279</c:v>
                </c:pt>
                <c:pt idx="57">
                  <c:v>0.36749320471202113</c:v>
                </c:pt>
                <c:pt idx="58">
                  <c:v>0.33648248547460879</c:v>
                </c:pt>
                <c:pt idx="59">
                  <c:v>0.30733713807668228</c:v>
                </c:pt>
                <c:pt idx="60">
                  <c:v>0.28082674273655089</c:v>
                </c:pt>
                <c:pt idx="61">
                  <c:v>0.25691071569306806</c:v>
                </c:pt>
                <c:pt idx="62">
                  <c:v>0.23444036310871053</c:v>
                </c:pt>
                <c:pt idx="63">
                  <c:v>0.21375841553926667</c:v>
                </c:pt>
                <c:pt idx="64">
                  <c:v>0.19567749203000978</c:v>
                </c:pt>
                <c:pt idx="65">
                  <c:v>0.17879536920199107</c:v>
                </c:pt>
                <c:pt idx="66">
                  <c:v>0.16322942450825756</c:v>
                </c:pt>
                <c:pt idx="67">
                  <c:v>0.1495201051710035</c:v>
                </c:pt>
                <c:pt idx="68">
                  <c:v>0.13643315680897014</c:v>
                </c:pt>
                <c:pt idx="69">
                  <c:v>0.12468022372752494</c:v>
                </c:pt>
                <c:pt idx="70">
                  <c:v>0.11381580118249109</c:v>
                </c:pt>
                <c:pt idx="71">
                  <c:v>0.10388796979883851</c:v>
                </c:pt>
                <c:pt idx="72">
                  <c:v>9.5129290084311827E-2</c:v>
                </c:pt>
                <c:pt idx="73">
                  <c:v>8.7335323653103467E-2</c:v>
                </c:pt>
                <c:pt idx="74">
                  <c:v>7.9851694718885827E-2</c:v>
                </c:pt>
                <c:pt idx="75">
                  <c:v>7.2864537758215109E-2</c:v>
                </c:pt>
                <c:pt idx="76">
                  <c:v>6.6527898995881407E-2</c:v>
                </c:pt>
                <c:pt idx="77">
                  <c:v>6.073942813477607E-2</c:v>
                </c:pt>
                <c:pt idx="78">
                  <c:v>5.5621322239014552E-2</c:v>
                </c:pt>
                <c:pt idx="79">
                  <c:v>5.0629447870088051E-2</c:v>
                </c:pt>
                <c:pt idx="80">
                  <c:v>4.6338419178811971E-2</c:v>
                </c:pt>
                <c:pt idx="81">
                  <c:v>4.2474033136904663E-2</c:v>
                </c:pt>
                <c:pt idx="82">
                  <c:v>3.8717510437544664E-2</c:v>
                </c:pt>
                <c:pt idx="83">
                  <c:v>3.5418348542876989E-2</c:v>
                </c:pt>
                <c:pt idx="84">
                  <c:v>3.2405090639946531E-2</c:v>
                </c:pt>
                <c:pt idx="85">
                  <c:v>2.9588324011828898E-2</c:v>
                </c:pt>
                <c:pt idx="86">
                  <c:v>2.7049950445521286E-2</c:v>
                </c:pt>
                <c:pt idx="87">
                  <c:v>2.4721505775130905E-2</c:v>
                </c:pt>
                <c:pt idx="88">
                  <c:v>2.2586898203180588E-2</c:v>
                </c:pt>
                <c:pt idx="89">
                  <c:v>2.0660411915057922E-2</c:v>
                </c:pt>
                <c:pt idx="90">
                  <c:v>1.8912266351586215E-2</c:v>
                </c:pt>
                <c:pt idx="91">
                  <c:v>1.7273345163309601E-2</c:v>
                </c:pt>
                <c:pt idx="92">
                  <c:v>1.5785767132851666E-2</c:v>
                </c:pt>
                <c:pt idx="93">
                  <c:v>1.4420173151760904E-2</c:v>
                </c:pt>
                <c:pt idx="94">
                  <c:v>1.3194143859068811E-2</c:v>
                </c:pt>
                <c:pt idx="95">
                  <c:v>1.2050994385508901E-2</c:v>
                </c:pt>
                <c:pt idx="96">
                  <c:v>1.10210315734407E-2</c:v>
                </c:pt>
                <c:pt idx="97">
                  <c:v>1.00767011130366E-2</c:v>
                </c:pt>
                <c:pt idx="98">
                  <c:v>9.2054091206433871E-3</c:v>
                </c:pt>
                <c:pt idx="99">
                  <c:v>8.4121616607892285E-3</c:v>
                </c:pt>
                <c:pt idx="100">
                  <c:v>7.7046864350422328E-3</c:v>
                </c:pt>
                <c:pt idx="101">
                  <c:v>7.0524811711079136E-3</c:v>
                </c:pt>
                <c:pt idx="102">
                  <c:v>6.4114334569353761E-3</c:v>
                </c:pt>
                <c:pt idx="103">
                  <c:v>5.8771500789801248E-3</c:v>
                </c:pt>
                <c:pt idx="104">
                  <c:v>5.3615062376840784E-3</c:v>
                </c:pt>
                <c:pt idx="105">
                  <c:v>4.9028387738509985E-3</c:v>
                </c:pt>
                <c:pt idx="106">
                  <c:v>4.4945861955972711E-3</c:v>
                </c:pt>
                <c:pt idx="107">
                  <c:v>4.1111816534771814E-3</c:v>
                </c:pt>
                <c:pt idx="108">
                  <c:v>3.7571634573247935E-3</c:v>
                </c:pt>
                <c:pt idx="109">
                  <c:v>3.4333194731479342E-3</c:v>
                </c:pt>
                <c:pt idx="110">
                  <c:v>3.1286838010273865E-3</c:v>
                </c:pt>
                <c:pt idx="111">
                  <c:v>2.8651283087886745E-3</c:v>
                </c:pt>
                <c:pt idx="112">
                  <c:v>2.6197362553810988E-3</c:v>
                </c:pt>
                <c:pt idx="113">
                  <c:v>2.3942408742531176E-3</c:v>
                </c:pt>
                <c:pt idx="114">
                  <c:v>2.188623400312938E-3</c:v>
                </c:pt>
                <c:pt idx="115">
                  <c:v>2.0023025259415252E-3</c:v>
                </c:pt>
                <c:pt idx="116">
                  <c:v>1.8304424156820396E-3</c:v>
                </c:pt>
                <c:pt idx="117">
                  <c:v>1.6736522058795364E-3</c:v>
                </c:pt>
                <c:pt idx="118">
                  <c:v>1.5420795998883601E-3</c:v>
                </c:pt>
              </c:numCache>
            </c:numRef>
          </c:xVal>
          <c:yVal>
            <c:numRef>
              <c:f>Table!$J$18:$J$136</c:f>
              <c:numCache>
                <c:formatCode>???0.000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8.7891158108792204E-4</c:v>
                </c:pt>
                <c:pt idx="39">
                  <c:v>1.5789030249037355E-3</c:v>
                </c:pt>
                <c:pt idx="40">
                  <c:v>4.7293162033942458E-3</c:v>
                </c:pt>
                <c:pt idx="41">
                  <c:v>1.6447833165509223E-2</c:v>
                </c:pt>
                <c:pt idx="42">
                  <c:v>4.2124531847079857E-2</c:v>
                </c:pt>
                <c:pt idx="43">
                  <c:v>5.7369464879810851E-2</c:v>
                </c:pt>
                <c:pt idx="44">
                  <c:v>8.9607173202118903E-2</c:v>
                </c:pt>
                <c:pt idx="45">
                  <c:v>0.18851108094483685</c:v>
                </c:pt>
                <c:pt idx="46">
                  <c:v>0.34061243241208472</c:v>
                </c:pt>
                <c:pt idx="47">
                  <c:v>0.74555456708957102</c:v>
                </c:pt>
                <c:pt idx="48">
                  <c:v>1.1055493118968573</c:v>
                </c:pt>
                <c:pt idx="49">
                  <c:v>1.770755636740839</c:v>
                </c:pt>
                <c:pt idx="50">
                  <c:v>2.0729188336738065</c:v>
                </c:pt>
                <c:pt idx="51">
                  <c:v>2.0589095179761321</c:v>
                </c:pt>
                <c:pt idx="52">
                  <c:v>1.3060583846055227</c:v>
                </c:pt>
                <c:pt idx="53">
                  <c:v>0.87949927596326416</c:v>
                </c:pt>
                <c:pt idx="54">
                  <c:v>0.67720166140798732</c:v>
                </c:pt>
                <c:pt idx="55">
                  <c:v>0.6871039472867686</c:v>
                </c:pt>
                <c:pt idx="56">
                  <c:v>0.59824319948134208</c:v>
                </c:pt>
                <c:pt idx="57">
                  <c:v>0.54185266893516293</c:v>
                </c:pt>
                <c:pt idx="58">
                  <c:v>0.52408322601891133</c:v>
                </c:pt>
                <c:pt idx="59">
                  <c:v>0.49633804835204526</c:v>
                </c:pt>
                <c:pt idx="60">
                  <c:v>0.46050685380630313</c:v>
                </c:pt>
                <c:pt idx="61">
                  <c:v>0.45900414279446605</c:v>
                </c:pt>
                <c:pt idx="62">
                  <c:v>0.43289494990171579</c:v>
                </c:pt>
                <c:pt idx="63">
                  <c:v>0.41862532068440866</c:v>
                </c:pt>
                <c:pt idx="64">
                  <c:v>0.40798500294974294</c:v>
                </c:pt>
                <c:pt idx="65">
                  <c:v>0.39355393572256836</c:v>
                </c:pt>
                <c:pt idx="66">
                  <c:v>0.39134611203755132</c:v>
                </c:pt>
                <c:pt idx="67">
                  <c:v>0.3828901071231906</c:v>
                </c:pt>
                <c:pt idx="68">
                  <c:v>0.36222150210728721</c:v>
                </c:pt>
                <c:pt idx="69">
                  <c:v>0.35460995391125122</c:v>
                </c:pt>
                <c:pt idx="70">
                  <c:v>0.34436181152170203</c:v>
                </c:pt>
                <c:pt idx="71">
                  <c:v>0.33197715241108211</c:v>
                </c:pt>
                <c:pt idx="72">
                  <c:v>0.3331125016488265</c:v>
                </c:pt>
                <c:pt idx="73">
                  <c:v>0.3207683125722296</c:v>
                </c:pt>
                <c:pt idx="74">
                  <c:v>0.31220212222203747</c:v>
                </c:pt>
                <c:pt idx="75">
                  <c:v>0.29944500404619762</c:v>
                </c:pt>
                <c:pt idx="76">
                  <c:v>0.28631237450032032</c:v>
                </c:pt>
                <c:pt idx="77">
                  <c:v>0.27561960441024885</c:v>
                </c:pt>
                <c:pt idx="78">
                  <c:v>0.27255909154026731</c:v>
                </c:pt>
                <c:pt idx="79">
                  <c:v>0.2551480928297894</c:v>
                </c:pt>
                <c:pt idx="80">
                  <c:v>0.25233412522798943</c:v>
                </c:pt>
                <c:pt idx="81">
                  <c:v>0.24088855613256011</c:v>
                </c:pt>
                <c:pt idx="82">
                  <c:v>0.23392539438306106</c:v>
                </c:pt>
                <c:pt idx="83">
                  <c:v>0.22628761176174941</c:v>
                </c:pt>
                <c:pt idx="84">
                  <c:v>0.21432755072808574</c:v>
                </c:pt>
                <c:pt idx="85">
                  <c:v>0.21408665129871568</c:v>
                </c:pt>
                <c:pt idx="86">
                  <c:v>0.20329222844752895</c:v>
                </c:pt>
                <c:pt idx="87">
                  <c:v>0.19800693879071751</c:v>
                </c:pt>
                <c:pt idx="88">
                  <c:v>0.1897758563410033</c:v>
                </c:pt>
                <c:pt idx="89">
                  <c:v>0.19223008935981284</c:v>
                </c:pt>
                <c:pt idx="90">
                  <c:v>0.18453882587470272</c:v>
                </c:pt>
                <c:pt idx="91">
                  <c:v>0.15880917864753852</c:v>
                </c:pt>
                <c:pt idx="92">
                  <c:v>0.16746205949886825</c:v>
                </c:pt>
                <c:pt idx="93">
                  <c:v>0.15606931660268653</c:v>
                </c:pt>
                <c:pt idx="94">
                  <c:v>0.14812377491575154</c:v>
                </c:pt>
                <c:pt idx="95">
                  <c:v>0.13766537170538878</c:v>
                </c:pt>
                <c:pt idx="96">
                  <c:v>0.12429857479597101</c:v>
                </c:pt>
                <c:pt idx="97">
                  <c:v>0.13621257359642758</c:v>
                </c:pt>
                <c:pt idx="98">
                  <c:v>0.10915237098338473</c:v>
                </c:pt>
                <c:pt idx="99">
                  <c:v>0.10954227883243421</c:v>
                </c:pt>
                <c:pt idx="100">
                  <c:v>9.6758041261272063E-2</c:v>
                </c:pt>
                <c:pt idx="101">
                  <c:v>9.4552110120475638E-2</c:v>
                </c:pt>
                <c:pt idx="102">
                  <c:v>8.3442282852803959E-2</c:v>
                </c:pt>
                <c:pt idx="103">
                  <c:v>8.3509875928291691E-2</c:v>
                </c:pt>
                <c:pt idx="104">
                  <c:v>6.7185837098592632E-2</c:v>
                </c:pt>
                <c:pt idx="105">
                  <c:v>6.4387115082648258E-2</c:v>
                </c:pt>
                <c:pt idx="106">
                  <c:v>6.7807952900628438E-2</c:v>
                </c:pt>
                <c:pt idx="107">
                  <c:v>5.3816879602905543E-2</c:v>
                </c:pt>
                <c:pt idx="108">
                  <c:v>5.4811626494200807E-2</c:v>
                </c:pt>
                <c:pt idx="109">
                  <c:v>5.0193554277176707E-2</c:v>
                </c:pt>
                <c:pt idx="110">
                  <c:v>1.0328734668076199E-2</c:v>
                </c:pt>
                <c:pt idx="111">
                  <c:v>4.6738832512455156E-2</c:v>
                </c:pt>
                <c:pt idx="112">
                  <c:v>1.3780455939409181E-2</c:v>
                </c:pt>
                <c:pt idx="113">
                  <c:v>1.9801617929712675E-2</c:v>
                </c:pt>
                <c:pt idx="114">
                  <c:v>1.2214648679457497E-2</c:v>
                </c:pt>
                <c:pt idx="115">
                  <c:v>9.2452578754041448E-3</c:v>
                </c:pt>
                <c:pt idx="116">
                  <c:v>1.0694173771190035E-2</c:v>
                </c:pt>
                <c:pt idx="117">
                  <c:v>0</c:v>
                </c:pt>
                <c:pt idx="118">
                  <c:v>3.3489410574801255E-3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278080"/>
        <c:axId val="103564416"/>
      </c:scatterChart>
      <c:valAx>
        <c:axId val="103278080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Log Pore Throat Radius (Microns)</a:t>
                </a:r>
              </a:p>
            </c:rich>
          </c:tx>
          <c:layout>
            <c:manualLayout>
              <c:xMode val="edge"/>
              <c:yMode val="edge"/>
              <c:x val="0.37010695397441207"/>
              <c:y val="0.940845879410746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103564416"/>
        <c:crosses val="autoZero"/>
        <c:crossBetween val="midCat"/>
      </c:valAx>
      <c:valAx>
        <c:axId val="103564416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 Sw / d LOG Pore Throat Rad.</a:t>
                </a:r>
              </a:p>
            </c:rich>
          </c:tx>
          <c:layout>
            <c:manualLayout>
              <c:xMode val="edge"/>
              <c:yMode val="edge"/>
              <c:x val="2.0606709152410356E-2"/>
              <c:y val="0.399264163377781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103278080"/>
        <c:crossesAt val="1.0000000000000041E-3"/>
        <c:crossBetween val="midCat"/>
        <c:majorUnit val="1"/>
        <c:min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accent5">
        <a:lumMod val="20000"/>
        <a:lumOff val="80000"/>
      </a:schemeClr>
    </a:solidFill>
    <a:ln>
      <a:solidFill>
        <a:sysClr val="windowText" lastClr="000000"/>
      </a:solidFill>
    </a:ln>
  </c:spPr>
  <c:txPr>
    <a:bodyPr/>
    <a:lstStyle/>
    <a:p>
      <a:pPr>
        <a:defRPr sz="9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966" r="0.75000000000000966" t="1" header="0.5" footer="0.5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0">
                <a:latin typeface="Arial"/>
              </a:rPr>
              <a:t>Normalized Pore Size Distribution VS Normalized Permeability</a:t>
            </a:r>
          </a:p>
        </c:rich>
      </c:tx>
      <c:layout>
        <c:manualLayout>
          <c:xMode val="edge"/>
          <c:yMode val="edge"/>
          <c:x val="0.2255588553160959"/>
          <c:y val="4.42079021058823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30384661626489"/>
          <c:y val="0.16126507112319541"/>
          <c:w val="0.81528794194843257"/>
          <c:h val="0.67664041994752322"/>
        </c:manualLayout>
      </c:layout>
      <c:scatterChart>
        <c:scatterStyle val="smoothMarker"/>
        <c:varyColors val="0"/>
        <c:ser>
          <c:idx val="0"/>
          <c:order val="0"/>
          <c:tx>
            <c:v>Normalized Pore Size Distribution</c:v>
          </c:tx>
          <c:spPr>
            <a:ln w="15875">
              <a:solidFill>
                <a:schemeClr val="dk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75000"/>
                </a:schemeClr>
              </a:solidFill>
              <a:ln>
                <a:solidFill>
                  <a:schemeClr val="dk2">
                    <a:lumMod val="75000"/>
                  </a:schemeClr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2.800862666623948</c:v>
                </c:pt>
                <c:pt idx="35">
                  <c:v>2.6485652728460942</c:v>
                </c:pt>
                <c:pt idx="36">
                  <c:v>2.5206283069132387</c:v>
                </c:pt>
                <c:pt idx="37">
                  <c:v>2.2459224000871139</c:v>
                </c:pt>
                <c:pt idx="38">
                  <c:v>1.9215430892109111</c:v>
                </c:pt>
                <c:pt idx="39">
                  <c:v>1.761730336243899</c:v>
                </c:pt>
                <c:pt idx="40">
                  <c:v>1.6624924049613949</c:v>
                </c:pt>
                <c:pt idx="41">
                  <c:v>1.5552474141660459</c:v>
                </c:pt>
                <c:pt idx="42">
                  <c:v>1.4014210097255899</c:v>
                </c:pt>
                <c:pt idx="43">
                  <c:v>1.2645633797591351</c:v>
                </c:pt>
                <c:pt idx="44">
                  <c:v>1.1750217513704304</c:v>
                </c:pt>
                <c:pt idx="45">
                  <c:v>1.0535815655016694</c:v>
                </c:pt>
                <c:pt idx="46">
                  <c:v>0.97955324326512316</c:v>
                </c:pt>
                <c:pt idx="47">
                  <c:v>0.90691344427452047</c:v>
                </c:pt>
                <c:pt idx="48">
                  <c:v>0.81932647021703398</c:v>
                </c:pt>
                <c:pt idx="49">
                  <c:v>0.75593953849833495</c:v>
                </c:pt>
                <c:pt idx="50">
                  <c:v>0.69398094653352937</c:v>
                </c:pt>
                <c:pt idx="51">
                  <c:v>0.62868312660270043</c:v>
                </c:pt>
                <c:pt idx="52">
                  <c:v>0.57610545726463724</c:v>
                </c:pt>
                <c:pt idx="53">
                  <c:v>0.52860582847665105</c:v>
                </c:pt>
                <c:pt idx="54">
                  <c:v>0.48150354960340241</c:v>
                </c:pt>
                <c:pt idx="55">
                  <c:v>0.44217834913327764</c:v>
                </c:pt>
                <c:pt idx="56">
                  <c:v>0.4033546116843279</c:v>
                </c:pt>
                <c:pt idx="57">
                  <c:v>0.36749320471202113</c:v>
                </c:pt>
                <c:pt idx="58">
                  <c:v>0.33648248547460879</c:v>
                </c:pt>
                <c:pt idx="59">
                  <c:v>0.30733713807668228</c:v>
                </c:pt>
                <c:pt idx="60">
                  <c:v>0.28082674273655089</c:v>
                </c:pt>
                <c:pt idx="61">
                  <c:v>0.25691071569306806</c:v>
                </c:pt>
                <c:pt idx="62">
                  <c:v>0.23444036310871053</c:v>
                </c:pt>
                <c:pt idx="63">
                  <c:v>0.21375841553926667</c:v>
                </c:pt>
                <c:pt idx="64">
                  <c:v>0.19567749203000978</c:v>
                </c:pt>
                <c:pt idx="65">
                  <c:v>0.17879536920199107</c:v>
                </c:pt>
                <c:pt idx="66">
                  <c:v>0.16322942450825756</c:v>
                </c:pt>
                <c:pt idx="67">
                  <c:v>0.1495201051710035</c:v>
                </c:pt>
                <c:pt idx="68">
                  <c:v>0.13643315680897014</c:v>
                </c:pt>
                <c:pt idx="69">
                  <c:v>0.12468022372752494</c:v>
                </c:pt>
                <c:pt idx="70">
                  <c:v>0.11381580118249109</c:v>
                </c:pt>
                <c:pt idx="71">
                  <c:v>0.10388796979883851</c:v>
                </c:pt>
                <c:pt idx="72">
                  <c:v>9.5129290084311827E-2</c:v>
                </c:pt>
                <c:pt idx="73">
                  <c:v>8.7335323653103467E-2</c:v>
                </c:pt>
                <c:pt idx="74">
                  <c:v>7.9851694718885827E-2</c:v>
                </c:pt>
                <c:pt idx="75">
                  <c:v>7.2864537758215109E-2</c:v>
                </c:pt>
                <c:pt idx="76">
                  <c:v>6.6527898995881407E-2</c:v>
                </c:pt>
                <c:pt idx="77">
                  <c:v>6.073942813477607E-2</c:v>
                </c:pt>
                <c:pt idx="78">
                  <c:v>5.5621322239014552E-2</c:v>
                </c:pt>
                <c:pt idx="79">
                  <c:v>5.0629447870088051E-2</c:v>
                </c:pt>
                <c:pt idx="80">
                  <c:v>4.6338419178811971E-2</c:v>
                </c:pt>
                <c:pt idx="81">
                  <c:v>4.2474033136904663E-2</c:v>
                </c:pt>
                <c:pt idx="82">
                  <c:v>3.8717510437544664E-2</c:v>
                </c:pt>
                <c:pt idx="83">
                  <c:v>3.5418348542876989E-2</c:v>
                </c:pt>
                <c:pt idx="84">
                  <c:v>3.2405090639946531E-2</c:v>
                </c:pt>
                <c:pt idx="85">
                  <c:v>2.9588324011828898E-2</c:v>
                </c:pt>
                <c:pt idx="86">
                  <c:v>2.7049950445521286E-2</c:v>
                </c:pt>
                <c:pt idx="87">
                  <c:v>2.4721505775130905E-2</c:v>
                </c:pt>
                <c:pt idx="88">
                  <c:v>2.2586898203180588E-2</c:v>
                </c:pt>
                <c:pt idx="89">
                  <c:v>2.0660411915057922E-2</c:v>
                </c:pt>
                <c:pt idx="90">
                  <c:v>1.8912266351586215E-2</c:v>
                </c:pt>
                <c:pt idx="91">
                  <c:v>1.7273345163309601E-2</c:v>
                </c:pt>
                <c:pt idx="92">
                  <c:v>1.5785767132851666E-2</c:v>
                </c:pt>
                <c:pt idx="93">
                  <c:v>1.4420173151760904E-2</c:v>
                </c:pt>
                <c:pt idx="94">
                  <c:v>1.3194143859068811E-2</c:v>
                </c:pt>
                <c:pt idx="95">
                  <c:v>1.2050994385508901E-2</c:v>
                </c:pt>
                <c:pt idx="96">
                  <c:v>1.10210315734407E-2</c:v>
                </c:pt>
                <c:pt idx="97">
                  <c:v>1.00767011130366E-2</c:v>
                </c:pt>
                <c:pt idx="98">
                  <c:v>9.2054091206433871E-3</c:v>
                </c:pt>
                <c:pt idx="99">
                  <c:v>8.4121616607892285E-3</c:v>
                </c:pt>
                <c:pt idx="100">
                  <c:v>7.7046864350422328E-3</c:v>
                </c:pt>
                <c:pt idx="101">
                  <c:v>7.0524811711079136E-3</c:v>
                </c:pt>
                <c:pt idx="102">
                  <c:v>6.4114334569353761E-3</c:v>
                </c:pt>
                <c:pt idx="103">
                  <c:v>5.8771500789801248E-3</c:v>
                </c:pt>
                <c:pt idx="104">
                  <c:v>5.3615062376840784E-3</c:v>
                </c:pt>
                <c:pt idx="105">
                  <c:v>4.9028387738509985E-3</c:v>
                </c:pt>
                <c:pt idx="106">
                  <c:v>4.4945861955972711E-3</c:v>
                </c:pt>
                <c:pt idx="107">
                  <c:v>4.1111816534771814E-3</c:v>
                </c:pt>
                <c:pt idx="108">
                  <c:v>3.7571634573247935E-3</c:v>
                </c:pt>
                <c:pt idx="109">
                  <c:v>3.4333194731479342E-3</c:v>
                </c:pt>
                <c:pt idx="110">
                  <c:v>3.1286838010273865E-3</c:v>
                </c:pt>
                <c:pt idx="111">
                  <c:v>2.8651283087886745E-3</c:v>
                </c:pt>
                <c:pt idx="112">
                  <c:v>2.6197362553810988E-3</c:v>
                </c:pt>
                <c:pt idx="113">
                  <c:v>2.3942408742531176E-3</c:v>
                </c:pt>
                <c:pt idx="114">
                  <c:v>2.188623400312938E-3</c:v>
                </c:pt>
                <c:pt idx="115">
                  <c:v>2.0023025259415252E-3</c:v>
                </c:pt>
                <c:pt idx="116">
                  <c:v>1.8304424156820396E-3</c:v>
                </c:pt>
                <c:pt idx="117">
                  <c:v>1.6736522058795364E-3</c:v>
                </c:pt>
                <c:pt idx="118">
                  <c:v>1.5420795998883601E-3</c:v>
                </c:pt>
              </c:numCache>
            </c:numRef>
          </c:xVal>
          <c:yVal>
            <c:numRef>
              <c:f>Table!$S$18:$S$136</c:f>
              <c:numCache>
                <c:formatCode>????0.000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6.7385444743935324E-4</c:v>
                </c:pt>
                <c:pt idx="39">
                  <c:v>6.7385444743935324E-4</c:v>
                </c:pt>
                <c:pt idx="40">
                  <c:v>1.3477088948787065E-3</c:v>
                </c:pt>
                <c:pt idx="41">
                  <c:v>5.3908355795148251E-3</c:v>
                </c:pt>
                <c:pt idx="42">
                  <c:v>2.1563342318059304E-2</c:v>
                </c:pt>
                <c:pt idx="43">
                  <c:v>2.8975741239892182E-2</c:v>
                </c:pt>
                <c:pt idx="44">
                  <c:v>3.2345013477088951E-2</c:v>
                </c:pt>
                <c:pt idx="45">
                  <c:v>0.10107816711590301</c:v>
                </c:pt>
                <c:pt idx="46">
                  <c:v>0.12196765498652293</c:v>
                </c:pt>
                <c:pt idx="47">
                  <c:v>0.28234501347708896</c:v>
                </c:pt>
                <c:pt idx="48">
                  <c:v>0.55188679245283023</c:v>
                </c:pt>
                <c:pt idx="49">
                  <c:v>0.70080862533692723</c:v>
                </c:pt>
                <c:pt idx="50">
                  <c:v>0.87129380053908412</c:v>
                </c:pt>
                <c:pt idx="51">
                  <c:v>1</c:v>
                </c:pt>
                <c:pt idx="52">
                  <c:v>0.560646900269542</c:v>
                </c:pt>
                <c:pt idx="53">
                  <c:v>0.37196765498652296</c:v>
                </c:pt>
                <c:pt idx="54">
                  <c:v>0.31064690026954173</c:v>
                </c:pt>
                <c:pt idx="55">
                  <c:v>0.28773584905660349</c:v>
                </c:pt>
                <c:pt idx="56">
                  <c:v>0.27021563342318122</c:v>
                </c:pt>
                <c:pt idx="57">
                  <c:v>0.24797843665768154</c:v>
                </c:pt>
                <c:pt idx="58">
                  <c:v>0.22708894878706273</c:v>
                </c:pt>
                <c:pt idx="59">
                  <c:v>0.22102425876010701</c:v>
                </c:pt>
                <c:pt idx="60">
                  <c:v>0.20417789757412452</c:v>
                </c:pt>
                <c:pt idx="61">
                  <c:v>0.20080862533692675</c:v>
                </c:pt>
                <c:pt idx="62">
                  <c:v>0.19474393530997355</c:v>
                </c:pt>
                <c:pt idx="63">
                  <c:v>0.19002695417789744</c:v>
                </c:pt>
                <c:pt idx="64">
                  <c:v>0.17722371967654998</c:v>
                </c:pt>
                <c:pt idx="65">
                  <c:v>0.1745283018867933</c:v>
                </c:pt>
                <c:pt idx="66">
                  <c:v>0.17520215633423183</c:v>
                </c:pt>
                <c:pt idx="67">
                  <c:v>0.16509433962264108</c:v>
                </c:pt>
                <c:pt idx="68">
                  <c:v>0.16307277628032293</c:v>
                </c:pt>
                <c:pt idx="69">
                  <c:v>0.15700808625336848</c:v>
                </c:pt>
                <c:pt idx="70">
                  <c:v>0.15431266846361305</c:v>
                </c:pt>
                <c:pt idx="71">
                  <c:v>0.14892183288409713</c:v>
                </c:pt>
                <c:pt idx="72">
                  <c:v>0.14420485175202102</c:v>
                </c:pt>
                <c:pt idx="73">
                  <c:v>0.13477088948787008</c:v>
                </c:pt>
                <c:pt idx="74">
                  <c:v>0.13746630727762801</c:v>
                </c:pt>
                <c:pt idx="75">
                  <c:v>0.13477088948787133</c:v>
                </c:pt>
                <c:pt idx="76">
                  <c:v>0.12803234501347832</c:v>
                </c:pt>
                <c:pt idx="77">
                  <c:v>0.12331536388140096</c:v>
                </c:pt>
                <c:pt idx="78">
                  <c:v>0.11792452830188631</c:v>
                </c:pt>
                <c:pt idx="79">
                  <c:v>0.11792452830188631</c:v>
                </c:pt>
                <c:pt idx="80">
                  <c:v>0.10983827493261496</c:v>
                </c:pt>
                <c:pt idx="81">
                  <c:v>0.10309973045822196</c:v>
                </c:pt>
                <c:pt idx="82">
                  <c:v>0.1064690026954172</c:v>
                </c:pt>
                <c:pt idx="83">
                  <c:v>9.9056603773585661E-2</c:v>
                </c:pt>
                <c:pt idx="84">
                  <c:v>9.3665768194069757E-2</c:v>
                </c:pt>
                <c:pt idx="85">
                  <c:v>9.5687331536387907E-2</c:v>
                </c:pt>
                <c:pt idx="86">
                  <c:v>8.9622641509433443E-2</c:v>
                </c:pt>
                <c:pt idx="87">
                  <c:v>8.7601078167116556E-2</c:v>
                </c:pt>
                <c:pt idx="88">
                  <c:v>8.4231805929918788E-2</c:v>
                </c:pt>
                <c:pt idx="89">
                  <c:v>8.4231805929918788E-2</c:v>
                </c:pt>
                <c:pt idx="90">
                  <c:v>8.018867924528375E-2</c:v>
                </c:pt>
                <c:pt idx="91">
                  <c:v>7.0754716981131532E-2</c:v>
                </c:pt>
                <c:pt idx="92">
                  <c:v>7.4123989218329286E-2</c:v>
                </c:pt>
                <c:pt idx="93">
                  <c:v>6.9407008086253191E-2</c:v>
                </c:pt>
                <c:pt idx="94">
                  <c:v>6.4690026954178331E-2</c:v>
                </c:pt>
                <c:pt idx="95">
                  <c:v>6.1320754716980584E-2</c:v>
                </c:pt>
                <c:pt idx="96">
                  <c:v>5.4582210242587581E-2</c:v>
                </c:pt>
                <c:pt idx="97">
                  <c:v>5.9973045822103485E-2</c:v>
                </c:pt>
                <c:pt idx="98">
                  <c:v>4.8517520215631868E-2</c:v>
                </c:pt>
                <c:pt idx="99">
                  <c:v>4.851752021563438E-2</c:v>
                </c:pt>
                <c:pt idx="100">
                  <c:v>4.1778975741240121E-2</c:v>
                </c:pt>
                <c:pt idx="101">
                  <c:v>4.1105121293800319E-2</c:v>
                </c:pt>
                <c:pt idx="102">
                  <c:v>3.9083557951482169E-2</c:v>
                </c:pt>
                <c:pt idx="103">
                  <c:v>3.5714285714285671E-2</c:v>
                </c:pt>
                <c:pt idx="104">
                  <c:v>3.0323450134771019E-2</c:v>
                </c:pt>
                <c:pt idx="105">
                  <c:v>2.8301886792452866E-2</c:v>
                </c:pt>
                <c:pt idx="106">
                  <c:v>2.8975741239892668E-2</c:v>
                </c:pt>
                <c:pt idx="107">
                  <c:v>2.3584905660378016E-2</c:v>
                </c:pt>
                <c:pt idx="108">
                  <c:v>2.4258760107815306E-2</c:v>
                </c:pt>
                <c:pt idx="109">
                  <c:v>2.2237196765498412E-2</c:v>
                </c:pt>
                <c:pt idx="110">
                  <c:v>4.7169811320748496E-3</c:v>
                </c:pt>
                <c:pt idx="111">
                  <c:v>2.0215633423181514E-2</c:v>
                </c:pt>
                <c:pt idx="112">
                  <c:v>6.0646900269544545E-3</c:v>
                </c:pt>
                <c:pt idx="113">
                  <c:v>8.7601078167111532E-3</c:v>
                </c:pt>
                <c:pt idx="114">
                  <c:v>5.3908355795146525E-3</c:v>
                </c:pt>
                <c:pt idx="115">
                  <c:v>4.0431266846375595E-3</c:v>
                </c:pt>
                <c:pt idx="116">
                  <c:v>4.7169811320748496E-3</c:v>
                </c:pt>
                <c:pt idx="117">
                  <c:v>0</c:v>
                </c:pt>
                <c:pt idx="118">
                  <c:v>1.3477088948783489E-3</c:v>
                </c:pt>
              </c:numCache>
            </c:numRef>
          </c:yVal>
          <c:smooth val="1"/>
        </c:ser>
        <c:ser>
          <c:idx val="1"/>
          <c:order val="1"/>
          <c:tx>
            <c:v>Normalized Permeability</c:v>
          </c:tx>
          <c:marker>
            <c:symbol val="circle"/>
            <c:size val="5"/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2.800862666623948</c:v>
                </c:pt>
                <c:pt idx="35">
                  <c:v>2.6485652728460942</c:v>
                </c:pt>
                <c:pt idx="36">
                  <c:v>2.5206283069132387</c:v>
                </c:pt>
                <c:pt idx="37">
                  <c:v>2.2459224000871139</c:v>
                </c:pt>
                <c:pt idx="38">
                  <c:v>1.9215430892109111</c:v>
                </c:pt>
                <c:pt idx="39">
                  <c:v>1.761730336243899</c:v>
                </c:pt>
                <c:pt idx="40">
                  <c:v>1.6624924049613949</c:v>
                </c:pt>
                <c:pt idx="41">
                  <c:v>1.5552474141660459</c:v>
                </c:pt>
                <c:pt idx="42">
                  <c:v>1.4014210097255899</c:v>
                </c:pt>
                <c:pt idx="43">
                  <c:v>1.2645633797591351</c:v>
                </c:pt>
                <c:pt idx="44">
                  <c:v>1.1750217513704304</c:v>
                </c:pt>
                <c:pt idx="45">
                  <c:v>1.0535815655016694</c:v>
                </c:pt>
                <c:pt idx="46">
                  <c:v>0.97955324326512316</c:v>
                </c:pt>
                <c:pt idx="47">
                  <c:v>0.90691344427452047</c:v>
                </c:pt>
                <c:pt idx="48">
                  <c:v>0.81932647021703398</c:v>
                </c:pt>
                <c:pt idx="49">
                  <c:v>0.75593953849833495</c:v>
                </c:pt>
                <c:pt idx="50">
                  <c:v>0.69398094653352937</c:v>
                </c:pt>
                <c:pt idx="51">
                  <c:v>0.62868312660270043</c:v>
                </c:pt>
                <c:pt idx="52">
                  <c:v>0.57610545726463724</c:v>
                </c:pt>
                <c:pt idx="53">
                  <c:v>0.52860582847665105</c:v>
                </c:pt>
                <c:pt idx="54">
                  <c:v>0.48150354960340241</c:v>
                </c:pt>
                <c:pt idx="55">
                  <c:v>0.44217834913327764</c:v>
                </c:pt>
                <c:pt idx="56">
                  <c:v>0.4033546116843279</c:v>
                </c:pt>
                <c:pt idx="57">
                  <c:v>0.36749320471202113</c:v>
                </c:pt>
                <c:pt idx="58">
                  <c:v>0.33648248547460879</c:v>
                </c:pt>
                <c:pt idx="59">
                  <c:v>0.30733713807668228</c:v>
                </c:pt>
                <c:pt idx="60">
                  <c:v>0.28082674273655089</c:v>
                </c:pt>
                <c:pt idx="61">
                  <c:v>0.25691071569306806</c:v>
                </c:pt>
                <c:pt idx="62">
                  <c:v>0.23444036310871053</c:v>
                </c:pt>
                <c:pt idx="63">
                  <c:v>0.21375841553926667</c:v>
                </c:pt>
                <c:pt idx="64">
                  <c:v>0.19567749203000978</c:v>
                </c:pt>
                <c:pt idx="65">
                  <c:v>0.17879536920199107</c:v>
                </c:pt>
                <c:pt idx="66">
                  <c:v>0.16322942450825756</c:v>
                </c:pt>
                <c:pt idx="67">
                  <c:v>0.1495201051710035</c:v>
                </c:pt>
                <c:pt idx="68">
                  <c:v>0.13643315680897014</c:v>
                </c:pt>
                <c:pt idx="69">
                  <c:v>0.12468022372752494</c:v>
                </c:pt>
                <c:pt idx="70">
                  <c:v>0.11381580118249109</c:v>
                </c:pt>
                <c:pt idx="71">
                  <c:v>0.10388796979883851</c:v>
                </c:pt>
                <c:pt idx="72">
                  <c:v>9.5129290084311827E-2</c:v>
                </c:pt>
                <c:pt idx="73">
                  <c:v>8.7335323653103467E-2</c:v>
                </c:pt>
                <c:pt idx="74">
                  <c:v>7.9851694718885827E-2</c:v>
                </c:pt>
                <c:pt idx="75">
                  <c:v>7.2864537758215109E-2</c:v>
                </c:pt>
                <c:pt idx="76">
                  <c:v>6.6527898995881407E-2</c:v>
                </c:pt>
                <c:pt idx="77">
                  <c:v>6.073942813477607E-2</c:v>
                </c:pt>
                <c:pt idx="78">
                  <c:v>5.5621322239014552E-2</c:v>
                </c:pt>
                <c:pt idx="79">
                  <c:v>5.0629447870088051E-2</c:v>
                </c:pt>
                <c:pt idx="80">
                  <c:v>4.6338419178811971E-2</c:v>
                </c:pt>
                <c:pt idx="81">
                  <c:v>4.2474033136904663E-2</c:v>
                </c:pt>
                <c:pt idx="82">
                  <c:v>3.8717510437544664E-2</c:v>
                </c:pt>
                <c:pt idx="83">
                  <c:v>3.5418348542876989E-2</c:v>
                </c:pt>
                <c:pt idx="84">
                  <c:v>3.2405090639946531E-2</c:v>
                </c:pt>
                <c:pt idx="85">
                  <c:v>2.9588324011828898E-2</c:v>
                </c:pt>
                <c:pt idx="86">
                  <c:v>2.7049950445521286E-2</c:v>
                </c:pt>
                <c:pt idx="87">
                  <c:v>2.4721505775130905E-2</c:v>
                </c:pt>
                <c:pt idx="88">
                  <c:v>2.2586898203180588E-2</c:v>
                </c:pt>
                <c:pt idx="89">
                  <c:v>2.0660411915057922E-2</c:v>
                </c:pt>
                <c:pt idx="90">
                  <c:v>1.8912266351586215E-2</c:v>
                </c:pt>
                <c:pt idx="91">
                  <c:v>1.7273345163309601E-2</c:v>
                </c:pt>
                <c:pt idx="92">
                  <c:v>1.5785767132851666E-2</c:v>
                </c:pt>
                <c:pt idx="93">
                  <c:v>1.4420173151760904E-2</c:v>
                </c:pt>
                <c:pt idx="94">
                  <c:v>1.3194143859068811E-2</c:v>
                </c:pt>
                <c:pt idx="95">
                  <c:v>1.2050994385508901E-2</c:v>
                </c:pt>
                <c:pt idx="96">
                  <c:v>1.10210315734407E-2</c:v>
                </c:pt>
                <c:pt idx="97">
                  <c:v>1.00767011130366E-2</c:v>
                </c:pt>
                <c:pt idx="98">
                  <c:v>9.2054091206433871E-3</c:v>
                </c:pt>
                <c:pt idx="99">
                  <c:v>8.4121616607892285E-3</c:v>
                </c:pt>
                <c:pt idx="100">
                  <c:v>7.7046864350422328E-3</c:v>
                </c:pt>
                <c:pt idx="101">
                  <c:v>7.0524811711079136E-3</c:v>
                </c:pt>
                <c:pt idx="102">
                  <c:v>6.4114334569353761E-3</c:v>
                </c:pt>
                <c:pt idx="103">
                  <c:v>5.8771500789801248E-3</c:v>
                </c:pt>
                <c:pt idx="104">
                  <c:v>5.3615062376840784E-3</c:v>
                </c:pt>
                <c:pt idx="105">
                  <c:v>4.9028387738509985E-3</c:v>
                </c:pt>
                <c:pt idx="106">
                  <c:v>4.4945861955972711E-3</c:v>
                </c:pt>
                <c:pt idx="107">
                  <c:v>4.1111816534771814E-3</c:v>
                </c:pt>
                <c:pt idx="108">
                  <c:v>3.7571634573247935E-3</c:v>
                </c:pt>
                <c:pt idx="109">
                  <c:v>3.4333194731479342E-3</c:v>
                </c:pt>
                <c:pt idx="110">
                  <c:v>3.1286838010273865E-3</c:v>
                </c:pt>
                <c:pt idx="111">
                  <c:v>2.8651283087886745E-3</c:v>
                </c:pt>
                <c:pt idx="112">
                  <c:v>2.6197362553810988E-3</c:v>
                </c:pt>
                <c:pt idx="113">
                  <c:v>2.3942408742531176E-3</c:v>
                </c:pt>
                <c:pt idx="114">
                  <c:v>2.188623400312938E-3</c:v>
                </c:pt>
                <c:pt idx="115">
                  <c:v>2.0023025259415252E-3</c:v>
                </c:pt>
                <c:pt idx="116">
                  <c:v>1.8304424156820396E-3</c:v>
                </c:pt>
                <c:pt idx="117">
                  <c:v>1.6736522058795364E-3</c:v>
                </c:pt>
                <c:pt idx="118">
                  <c:v>1.5420795998883601E-3</c:v>
                </c:pt>
              </c:numCache>
            </c:numRef>
          </c:xVal>
          <c:yVal>
            <c:numRef>
              <c:f>Table!$T$18:$T$136</c:f>
              <c:numCache>
                <c:formatCode>????0.000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0.99912071685685999</c:v>
                </c:pt>
                <c:pt idx="39">
                  <c:v>0.99838160978520341</c:v>
                </c:pt>
                <c:pt idx="40">
                  <c:v>0.99706524023580623</c:v>
                </c:pt>
                <c:pt idx="41">
                  <c:v>0.99245718734874577</c:v>
                </c:pt>
                <c:pt idx="42">
                  <c:v>0.97749084351466464</c:v>
                </c:pt>
                <c:pt idx="43">
                  <c:v>0.96111596262533894</c:v>
                </c:pt>
                <c:pt idx="44">
                  <c:v>0.94533398070177854</c:v>
                </c:pt>
                <c:pt idx="45">
                  <c:v>0.90568280424510061</c:v>
                </c:pt>
                <c:pt idx="46">
                  <c:v>0.86432445838637129</c:v>
                </c:pt>
                <c:pt idx="47">
                  <c:v>0.78225639314663087</c:v>
                </c:pt>
                <c:pt idx="48">
                  <c:v>0.65133025265547095</c:v>
                </c:pt>
                <c:pt idx="49">
                  <c:v>0.50980434342566538</c:v>
                </c:pt>
                <c:pt idx="50">
                  <c:v>0.36151084503002684</c:v>
                </c:pt>
                <c:pt idx="51">
                  <c:v>0.22183349026834853</c:v>
                </c:pt>
                <c:pt idx="52">
                  <c:v>0.15607439996021633</c:v>
                </c:pt>
                <c:pt idx="53">
                  <c:v>0.11934350885934586</c:v>
                </c:pt>
                <c:pt idx="54">
                  <c:v>9.3891128568720505E-2</c:v>
                </c:pt>
                <c:pt idx="55">
                  <c:v>7.4009529348851411E-2</c:v>
                </c:pt>
                <c:pt idx="56">
                  <c:v>5.8473253696005201E-2</c:v>
                </c:pt>
                <c:pt idx="57">
                  <c:v>4.6638071809692039E-2</c:v>
                </c:pt>
                <c:pt idx="58">
                  <c:v>3.7551850311753787E-2</c:v>
                </c:pt>
                <c:pt idx="59">
                  <c:v>3.0173956141503644E-2</c:v>
                </c:pt>
                <c:pt idx="60">
                  <c:v>2.4483487349720945E-2</c:v>
                </c:pt>
                <c:pt idx="61">
                  <c:v>1.979957031333579E-2</c:v>
                </c:pt>
                <c:pt idx="62">
                  <c:v>1.6016964327341121E-2</c:v>
                </c:pt>
                <c:pt idx="63">
                  <c:v>1.2948479051666961E-2</c:v>
                </c:pt>
                <c:pt idx="64">
                  <c:v>1.0550386239384313E-2</c:v>
                </c:pt>
                <c:pt idx="65">
                  <c:v>8.5786864553525355E-3</c:v>
                </c:pt>
                <c:pt idx="66">
                  <c:v>6.9290101412115002E-3</c:v>
                </c:pt>
                <c:pt idx="67">
                  <c:v>5.6246612778134697E-3</c:v>
                </c:pt>
                <c:pt idx="68">
                  <c:v>4.5519478573120553E-3</c:v>
                </c:pt>
                <c:pt idx="69">
                  <c:v>3.6894072329081151E-3</c:v>
                </c:pt>
                <c:pt idx="70">
                  <c:v>2.982977298107703E-3</c:v>
                </c:pt>
                <c:pt idx="71">
                  <c:v>2.4149734417852065E-3</c:v>
                </c:pt>
                <c:pt idx="72">
                  <c:v>1.9537931105291229E-3</c:v>
                </c:pt>
                <c:pt idx="73">
                  <c:v>1.5905157313549356E-3</c:v>
                </c:pt>
                <c:pt idx="74">
                  <c:v>1.2807545906445839E-3</c:v>
                </c:pt>
                <c:pt idx="75">
                  <c:v>1.0278883127256E-3</c:v>
                </c:pt>
                <c:pt idx="76">
                  <c:v>8.276303887789771E-4</c:v>
                </c:pt>
                <c:pt idx="77">
                  <c:v>6.668544777618246E-4</c:v>
                </c:pt>
                <c:pt idx="78">
                  <c:v>5.3792590999013346E-4</c:v>
                </c:pt>
                <c:pt idx="79">
                  <c:v>4.3110090462561423E-4</c:v>
                </c:pt>
                <c:pt idx="80">
                  <c:v>3.4775226340688636E-4</c:v>
                </c:pt>
                <c:pt idx="81">
                  <c:v>2.8202176491787245E-4</c:v>
                </c:pt>
                <c:pt idx="82">
                  <c:v>2.2561899569628618E-4</c:v>
                </c:pt>
                <c:pt idx="83">
                  <c:v>1.8170505191261732E-4</c:v>
                </c:pt>
                <c:pt idx="84">
                  <c:v>1.4694585183372411E-4</c:v>
                </c:pt>
                <c:pt idx="85">
                  <c:v>1.1734136290375563E-4</c:v>
                </c:pt>
                <c:pt idx="86">
                  <c:v>9.4166718410115813E-5</c:v>
                </c:pt>
                <c:pt idx="87">
                  <c:v>7.5246694360209254E-5</c:v>
                </c:pt>
                <c:pt idx="88">
                  <c:v>6.0060404180606319E-5</c:v>
                </c:pt>
                <c:pt idx="89">
                  <c:v>4.7354181653136429E-5</c:v>
                </c:pt>
                <c:pt idx="90">
                  <c:v>3.7218274942629748E-5</c:v>
                </c:pt>
                <c:pt idx="91">
                  <c:v>2.9757727545098867E-5</c:v>
                </c:pt>
                <c:pt idx="92">
                  <c:v>2.3230142165431289E-5</c:v>
                </c:pt>
                <c:pt idx="93">
                  <c:v>1.8129713625358868E-5</c:v>
                </c:pt>
                <c:pt idx="94">
                  <c:v>1.4149905310456568E-5</c:v>
                </c:pt>
                <c:pt idx="95">
                  <c:v>1.1002768283696618E-5</c:v>
                </c:pt>
                <c:pt idx="96">
                  <c:v>8.6598453470365655E-6</c:v>
                </c:pt>
                <c:pt idx="97">
                  <c:v>6.5077809991986868E-6</c:v>
                </c:pt>
                <c:pt idx="98">
                  <c:v>5.0548426790975043E-6</c:v>
                </c:pt>
                <c:pt idx="99">
                  <c:v>3.8415202978647756E-6</c:v>
                </c:pt>
                <c:pt idx="100">
                  <c:v>2.9650642976442043E-6</c:v>
                </c:pt>
                <c:pt idx="101">
                  <c:v>2.2425570671558148E-6</c:v>
                </c:pt>
                <c:pt idx="102">
                  <c:v>1.6747944894257571E-6</c:v>
                </c:pt>
                <c:pt idx="103">
                  <c:v>1.2388432431009733E-6</c:v>
                </c:pt>
                <c:pt idx="104">
                  <c:v>9.3079790763894721E-7</c:v>
                </c:pt>
                <c:pt idx="105">
                  <c:v>6.9037657135506691E-7</c:v>
                </c:pt>
                <c:pt idx="106">
                  <c:v>4.8351664072576739E-7</c:v>
                </c:pt>
                <c:pt idx="107">
                  <c:v>3.4264295756258889E-7</c:v>
                </c:pt>
                <c:pt idx="108">
                  <c:v>2.2162462287589335E-7</c:v>
                </c:pt>
                <c:pt idx="109">
                  <c:v>1.2899052725945381E-7</c:v>
                </c:pt>
                <c:pt idx="110">
                  <c:v>1.1267316779584036E-7</c:v>
                </c:pt>
                <c:pt idx="111">
                  <c:v>5.4027235019127318E-8</c:v>
                </c:pt>
                <c:pt idx="112">
                  <c:v>3.9318133748800221E-8</c:v>
                </c:pt>
                <c:pt idx="113">
                  <c:v>2.15718456431091E-8</c:v>
                </c:pt>
                <c:pt idx="114">
                  <c:v>1.2446264019416731E-8</c:v>
                </c:pt>
                <c:pt idx="115">
                  <c:v>6.7177875484603078E-9</c:v>
                </c:pt>
                <c:pt idx="116">
                  <c:v>1.1325882454116254E-9</c:v>
                </c:pt>
                <c:pt idx="117">
                  <c:v>1.1325882454116254E-9</c:v>
                </c:pt>
                <c:pt idx="118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837696"/>
        <c:axId val="103840000"/>
      </c:scatterChart>
      <c:valAx>
        <c:axId val="103837696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Pore Throat Radius (microns)</a:t>
                </a:r>
              </a:p>
            </c:rich>
          </c:tx>
          <c:layout>
            <c:manualLayout>
              <c:xMode val="edge"/>
              <c:yMode val="edge"/>
              <c:x val="0.37003231262758834"/>
              <c:y val="0.925774602248809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103840000"/>
        <c:crosses val="autoZero"/>
        <c:crossBetween val="midCat"/>
      </c:valAx>
      <c:valAx>
        <c:axId val="103840000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Distribution Function</a:t>
                </a:r>
              </a:p>
            </c:rich>
          </c:tx>
          <c:layout>
            <c:manualLayout>
              <c:xMode val="edge"/>
              <c:yMode val="edge"/>
              <c:x val="1.753793951647354E-2"/>
              <c:y val="0.414806277095512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103837696"/>
        <c:crossesAt val="1.0000000000000041E-3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1677187322108754"/>
          <c:y val="0.162399962596813"/>
          <c:w val="0.33481595735151376"/>
          <c:h val="0.19742154872150416"/>
        </c:manualLayout>
      </c:layout>
      <c:overlay val="0"/>
      <c:spPr>
        <a:solidFill>
          <a:srgbClr val="FFFFFF"/>
        </a:solidFill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solidFill>
      <a:schemeClr val="lt2"/>
    </a:solidFill>
    <a:ln w="3175">
      <a:solidFill>
        <a:sysClr val="windowText" lastClr="000000"/>
      </a:solidFill>
    </a:ln>
  </c:spPr>
  <c:txPr>
    <a:bodyPr/>
    <a:lstStyle/>
    <a:p>
      <a:pPr>
        <a:defRPr sz="8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866" r="0.75000000000000866" t="1" header="0.5" footer="0.5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059498670579271"/>
          <c:y val="0.15326975675683863"/>
          <c:w val="0.82827901825522265"/>
          <c:h val="0.72458777553660758"/>
        </c:manualLayout>
      </c:layout>
      <c:scatterChart>
        <c:scatterStyle val="lineMarker"/>
        <c:varyColors val="0"/>
        <c:ser>
          <c:idx val="0"/>
          <c:order val="0"/>
          <c:spPr>
            <a:ln w="15875">
              <a:solidFill>
                <a:schemeClr val="dk2">
                  <a:lumMod val="50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60000"/>
                  <a:lumOff val="40000"/>
                </a:schemeClr>
              </a:solidFill>
              <a:ln>
                <a:solidFill>
                  <a:schemeClr val="dk2">
                    <a:lumMod val="50000"/>
                  </a:schemeClr>
                </a:solidFill>
              </a:ln>
            </c:spPr>
          </c:marker>
          <c:xVal>
            <c:numRef>
              <c:f>Table!$F$18:$F$136</c:f>
              <c:numCache>
                <c:formatCode>???0.000</c:formatCode>
                <c:ptCount val="119"/>
                <c:pt idx="0">
                  <c:v>121.56245522530415</c:v>
                </c:pt>
                <c:pt idx="1">
                  <c:v>114.64098715790286</c:v>
                </c:pt>
                <c:pt idx="2">
                  <c:v>101.45376489371678</c:v>
                </c:pt>
                <c:pt idx="3">
                  <c:v>91.223620549137806</c:v>
                </c:pt>
                <c:pt idx="4">
                  <c:v>84.677220941518399</c:v>
                </c:pt>
                <c:pt idx="5">
                  <c:v>77.740301806795429</c:v>
                </c:pt>
                <c:pt idx="6">
                  <c:v>71.151476085964703</c:v>
                </c:pt>
                <c:pt idx="7">
                  <c:v>65.192965249774787</c:v>
                </c:pt>
                <c:pt idx="8">
                  <c:v>59.499645296486506</c:v>
                </c:pt>
                <c:pt idx="9">
                  <c:v>54.129509310324416</c:v>
                </c:pt>
                <c:pt idx="10">
                  <c:v>49.650681727627436</c:v>
                </c:pt>
                <c:pt idx="11">
                  <c:v>45.387208246263356</c:v>
                </c:pt>
                <c:pt idx="12">
                  <c:v>41.47659795981594</c:v>
                </c:pt>
                <c:pt idx="13">
                  <c:v>38.027576671382953</c:v>
                </c:pt>
                <c:pt idx="14">
                  <c:v>34.835150115750508</c:v>
                </c:pt>
                <c:pt idx="15">
                  <c:v>31.8027501780028</c:v>
                </c:pt>
                <c:pt idx="16">
                  <c:v>29.072219961336643</c:v>
                </c:pt>
                <c:pt idx="17">
                  <c:v>26.59021552882966</c:v>
                </c:pt>
                <c:pt idx="18">
                  <c:v>24.304084067780511</c:v>
                </c:pt>
                <c:pt idx="19">
                  <c:v>22.22007473261268</c:v>
                </c:pt>
                <c:pt idx="20">
                  <c:v>20.30852505033609</c:v>
                </c:pt>
                <c:pt idx="21">
                  <c:v>18.558011900368673</c:v>
                </c:pt>
                <c:pt idx="22">
                  <c:v>17.000990650087306</c:v>
                </c:pt>
                <c:pt idx="23">
                  <c:v>15.425848202447174</c:v>
                </c:pt>
                <c:pt idx="24">
                  <c:v>14.227684028997714</c:v>
                </c:pt>
                <c:pt idx="25">
                  <c:v>12.923214481590149</c:v>
                </c:pt>
                <c:pt idx="26">
                  <c:v>11.84290562182731</c:v>
                </c:pt>
                <c:pt idx="27">
                  <c:v>10.86428743188675</c:v>
                </c:pt>
                <c:pt idx="28">
                  <c:v>9.9235647072488717</c:v>
                </c:pt>
                <c:pt idx="29">
                  <c:v>9.0449149510601199</c:v>
                </c:pt>
                <c:pt idx="30">
                  <c:v>8.2738352181673527</c:v>
                </c:pt>
                <c:pt idx="31">
                  <c:v>7.5417053711641886</c:v>
                </c:pt>
                <c:pt idx="32">
                  <c:v>6.8911190559159277</c:v>
                </c:pt>
                <c:pt idx="33">
                  <c:v>6.321060734388559</c:v>
                </c:pt>
                <c:pt idx="34">
                  <c:v>5.601725333247896</c:v>
                </c:pt>
                <c:pt idx="35">
                  <c:v>5.2971305456921884</c:v>
                </c:pt>
                <c:pt idx="36">
                  <c:v>5.0412566138264774</c:v>
                </c:pt>
                <c:pt idx="37">
                  <c:v>4.4918448001742277</c:v>
                </c:pt>
                <c:pt idx="38">
                  <c:v>3.8430861784218222</c:v>
                </c:pt>
                <c:pt idx="39">
                  <c:v>3.5234606724877979</c:v>
                </c:pt>
                <c:pt idx="40">
                  <c:v>3.3249848099227899</c:v>
                </c:pt>
                <c:pt idx="41">
                  <c:v>3.1104948283320919</c:v>
                </c:pt>
                <c:pt idx="42">
                  <c:v>2.8028420194511798</c:v>
                </c:pt>
                <c:pt idx="43">
                  <c:v>2.5291267595182703</c:v>
                </c:pt>
                <c:pt idx="44">
                  <c:v>2.3500435027408608</c:v>
                </c:pt>
                <c:pt idx="45">
                  <c:v>2.1071631310033387</c:v>
                </c:pt>
                <c:pt idx="46">
                  <c:v>1.9591064865302463</c:v>
                </c:pt>
                <c:pt idx="47">
                  <c:v>1.8138268885490409</c:v>
                </c:pt>
                <c:pt idx="48">
                  <c:v>1.638652940434068</c:v>
                </c:pt>
                <c:pt idx="49">
                  <c:v>1.5118790769966699</c:v>
                </c:pt>
                <c:pt idx="50">
                  <c:v>1.3879618930670587</c:v>
                </c:pt>
                <c:pt idx="51">
                  <c:v>1.2573662532054009</c:v>
                </c:pt>
                <c:pt idx="52">
                  <c:v>1.1522109145292745</c:v>
                </c:pt>
                <c:pt idx="53">
                  <c:v>1.0572116569533021</c:v>
                </c:pt>
                <c:pt idx="54">
                  <c:v>0.96300709920680483</c:v>
                </c:pt>
                <c:pt idx="55">
                  <c:v>0.88435669826655527</c:v>
                </c:pt>
                <c:pt idx="56">
                  <c:v>0.8067092233686558</c:v>
                </c:pt>
                <c:pt idx="57">
                  <c:v>0.73498640942404225</c:v>
                </c:pt>
                <c:pt idx="58">
                  <c:v>0.67296497094921759</c:v>
                </c:pt>
                <c:pt idx="59">
                  <c:v>0.61467427615336456</c:v>
                </c:pt>
                <c:pt idx="60">
                  <c:v>0.56165348547310179</c:v>
                </c:pt>
                <c:pt idx="61">
                  <c:v>0.51382143138613612</c:v>
                </c:pt>
                <c:pt idx="62">
                  <c:v>0.46888072621742105</c:v>
                </c:pt>
                <c:pt idx="63">
                  <c:v>0.42751683107853333</c:v>
                </c:pt>
                <c:pt idx="64">
                  <c:v>0.39135498406001956</c:v>
                </c:pt>
                <c:pt idx="65">
                  <c:v>0.35759073840398214</c:v>
                </c:pt>
                <c:pt idx="66">
                  <c:v>0.32645884901651512</c:v>
                </c:pt>
                <c:pt idx="67">
                  <c:v>0.29904021034200701</c:v>
                </c:pt>
                <c:pt idx="68">
                  <c:v>0.27286631361794028</c:v>
                </c:pt>
                <c:pt idx="69">
                  <c:v>0.24936044745504987</c:v>
                </c:pt>
                <c:pt idx="70">
                  <c:v>0.22763160236498217</c:v>
                </c:pt>
                <c:pt idx="71">
                  <c:v>0.20777593959767701</c:v>
                </c:pt>
                <c:pt idx="72">
                  <c:v>0.19025858016862365</c:v>
                </c:pt>
                <c:pt idx="73">
                  <c:v>0.17467064730620693</c:v>
                </c:pt>
                <c:pt idx="74">
                  <c:v>0.15970338943777165</c:v>
                </c:pt>
                <c:pt idx="75">
                  <c:v>0.14572907551643022</c:v>
                </c:pt>
                <c:pt idx="76">
                  <c:v>0.13305579799176281</c:v>
                </c:pt>
                <c:pt idx="77">
                  <c:v>0.12147885626955214</c:v>
                </c:pt>
                <c:pt idx="78">
                  <c:v>0.1112426444780291</c:v>
                </c:pt>
                <c:pt idx="79">
                  <c:v>0.1012588957401761</c:v>
                </c:pt>
                <c:pt idx="80">
                  <c:v>9.2676838357623942E-2</c:v>
                </c:pt>
                <c:pt idx="81">
                  <c:v>8.4948066273809325E-2</c:v>
                </c:pt>
                <c:pt idx="82">
                  <c:v>7.7435020875089328E-2</c:v>
                </c:pt>
                <c:pt idx="83">
                  <c:v>7.0836697085753977E-2</c:v>
                </c:pt>
                <c:pt idx="84">
                  <c:v>6.4810181279893062E-2</c:v>
                </c:pt>
                <c:pt idx="85">
                  <c:v>5.9176648023657796E-2</c:v>
                </c:pt>
                <c:pt idx="86">
                  <c:v>5.4099900891042572E-2</c:v>
                </c:pt>
                <c:pt idx="87">
                  <c:v>4.944301155026181E-2</c:v>
                </c:pt>
                <c:pt idx="88">
                  <c:v>4.5173796406361176E-2</c:v>
                </c:pt>
                <c:pt idx="89">
                  <c:v>4.1320823830115844E-2</c:v>
                </c:pt>
                <c:pt idx="90">
                  <c:v>3.7824532703172431E-2</c:v>
                </c:pt>
                <c:pt idx="91">
                  <c:v>3.4546690326619202E-2</c:v>
                </c:pt>
                <c:pt idx="92">
                  <c:v>3.1571534265703333E-2</c:v>
                </c:pt>
                <c:pt idx="93">
                  <c:v>2.8840346303521808E-2</c:v>
                </c:pt>
                <c:pt idx="94">
                  <c:v>2.6388287718137622E-2</c:v>
                </c:pt>
                <c:pt idx="95">
                  <c:v>2.4101988771017803E-2</c:v>
                </c:pt>
                <c:pt idx="96">
                  <c:v>2.20420631468814E-2</c:v>
                </c:pt>
                <c:pt idx="97">
                  <c:v>2.0153402226073199E-2</c:v>
                </c:pt>
                <c:pt idx="98">
                  <c:v>1.8410818241286774E-2</c:v>
                </c:pt>
                <c:pt idx="99">
                  <c:v>1.6824323321578457E-2</c:v>
                </c:pt>
                <c:pt idx="100">
                  <c:v>1.5409372870084466E-2</c:v>
                </c:pt>
                <c:pt idx="101">
                  <c:v>1.4104962342215827E-2</c:v>
                </c:pt>
                <c:pt idx="102">
                  <c:v>1.2822866913870752E-2</c:v>
                </c:pt>
                <c:pt idx="103">
                  <c:v>1.175430015796025E-2</c:v>
                </c:pt>
                <c:pt idx="104">
                  <c:v>1.0723012475368157E-2</c:v>
                </c:pt>
                <c:pt idx="105">
                  <c:v>9.8056775477019971E-3</c:v>
                </c:pt>
                <c:pt idx="106">
                  <c:v>8.9891723911945422E-3</c:v>
                </c:pt>
                <c:pt idx="107">
                  <c:v>8.2223633069543629E-3</c:v>
                </c:pt>
                <c:pt idx="108">
                  <c:v>7.514326914649587E-3</c:v>
                </c:pt>
                <c:pt idx="109">
                  <c:v>6.8666389462958685E-3</c:v>
                </c:pt>
                <c:pt idx="110">
                  <c:v>6.257367602054773E-3</c:v>
                </c:pt>
                <c:pt idx="111">
                  <c:v>5.730256617577349E-3</c:v>
                </c:pt>
                <c:pt idx="112">
                  <c:v>5.2394725107621975E-3</c:v>
                </c:pt>
                <c:pt idx="113">
                  <c:v>4.7884817485062351E-3</c:v>
                </c:pt>
                <c:pt idx="114">
                  <c:v>4.3772468006258759E-3</c:v>
                </c:pt>
                <c:pt idx="115">
                  <c:v>4.0046050518830504E-3</c:v>
                </c:pt>
                <c:pt idx="116">
                  <c:v>3.6608848313640792E-3</c:v>
                </c:pt>
                <c:pt idx="117">
                  <c:v>3.3473044117590727E-3</c:v>
                </c:pt>
                <c:pt idx="118">
                  <c:v>3.0841591997767203E-3</c:v>
                </c:pt>
              </c:numCache>
            </c:numRef>
          </c:xVal>
          <c:yVal>
            <c:numRef>
              <c:f>Table!$H$18:$H$136</c:f>
              <c:numCache>
                <c:formatCode>????0.00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5.9541530217328293E-3</c:v>
                </c:pt>
                <c:pt idx="39">
                  <c:v>5.9541530217324164E-3</c:v>
                </c:pt>
                <c:pt idx="40">
                  <c:v>1.1908306043465246E-2</c:v>
                </c:pt>
                <c:pt idx="41">
                  <c:v>4.7633224173861399E-2</c:v>
                </c:pt>
                <c:pt idx="42">
                  <c:v>0.19053289669544515</c:v>
                </c:pt>
                <c:pt idx="43">
                  <c:v>0.25602857993450429</c:v>
                </c:pt>
                <c:pt idx="44">
                  <c:v>0.28579934504316751</c:v>
                </c:pt>
                <c:pt idx="45">
                  <c:v>0.89312295325989877</c:v>
                </c:pt>
                <c:pt idx="46">
                  <c:v>1.0777016969336115</c:v>
                </c:pt>
                <c:pt idx="47">
                  <c:v>2.4947901161059831</c:v>
                </c:pt>
                <c:pt idx="48">
                  <c:v>4.8764513247990475</c:v>
                </c:pt>
                <c:pt idx="49">
                  <c:v>6.1923191426019635</c:v>
                </c:pt>
                <c:pt idx="50">
                  <c:v>7.698719857100329</c:v>
                </c:pt>
                <c:pt idx="51">
                  <c:v>8.8359630842512686</c:v>
                </c:pt>
                <c:pt idx="52">
                  <c:v>4.9538553140815722</c:v>
                </c:pt>
                <c:pt idx="53">
                  <c:v>3.2866924679964242</c:v>
                </c:pt>
                <c:pt idx="54">
                  <c:v>2.7448645430187568</c:v>
                </c:pt>
                <c:pt idx="55">
                  <c:v>2.5424233402798393</c:v>
                </c:pt>
                <c:pt idx="56">
                  <c:v>2.3876153617148006</c:v>
                </c:pt>
                <c:pt idx="57">
                  <c:v>2.1911283119976162</c:v>
                </c:pt>
                <c:pt idx="58">
                  <c:v>2.0065495683239121</c:v>
                </c:pt>
                <c:pt idx="59">
                  <c:v>1.9529621911283073</c:v>
                </c:pt>
                <c:pt idx="60">
                  <c:v>1.8041083655849945</c:v>
                </c:pt>
                <c:pt idx="61">
                  <c:v>1.7743376004763292</c:v>
                </c:pt>
                <c:pt idx="62">
                  <c:v>1.7207502232807457</c:v>
                </c:pt>
                <c:pt idx="63">
                  <c:v>1.679071152128607</c:v>
                </c:pt>
                <c:pt idx="64">
                  <c:v>1.5659422447156928</c:v>
                </c:pt>
                <c:pt idx="65">
                  <c:v>1.5421256326287676</c:v>
                </c:pt>
                <c:pt idx="66">
                  <c:v>1.5480797856504864</c:v>
                </c:pt>
                <c:pt idx="67">
                  <c:v>1.4587674903245045</c:v>
                </c:pt>
                <c:pt idx="68">
                  <c:v>1.440905031259291</c:v>
                </c:pt>
                <c:pt idx="69">
                  <c:v>1.3873176540637076</c:v>
                </c:pt>
                <c:pt idx="70">
                  <c:v>1.3635010419767895</c:v>
                </c:pt>
                <c:pt idx="71">
                  <c:v>1.3158678178029106</c:v>
                </c:pt>
                <c:pt idx="72">
                  <c:v>1.2741887466507933</c:v>
                </c:pt>
                <c:pt idx="73">
                  <c:v>1.190830604346516</c:v>
                </c:pt>
                <c:pt idx="74">
                  <c:v>1.2146472164334625</c:v>
                </c:pt>
                <c:pt idx="75">
                  <c:v>1.1908306043465444</c:v>
                </c:pt>
                <c:pt idx="76">
                  <c:v>1.1312890741292136</c:v>
                </c:pt>
                <c:pt idx="77">
                  <c:v>1.0896100029770679</c:v>
                </c:pt>
                <c:pt idx="78">
                  <c:v>1.0419767788032175</c:v>
                </c:pt>
                <c:pt idx="79">
                  <c:v>1.0419767788032033</c:v>
                </c:pt>
                <c:pt idx="80">
                  <c:v>0.97052694254243477</c:v>
                </c:pt>
                <c:pt idx="81">
                  <c:v>0.91098541232510399</c:v>
                </c:pt>
                <c:pt idx="82">
                  <c:v>0.94075617743375517</c:v>
                </c:pt>
                <c:pt idx="83">
                  <c:v>0.87526049419470553</c:v>
                </c:pt>
                <c:pt idx="84">
                  <c:v>0.8276272700208267</c:v>
                </c:pt>
                <c:pt idx="85">
                  <c:v>0.84548972908604014</c:v>
                </c:pt>
                <c:pt idx="86">
                  <c:v>0.79190235189044245</c:v>
                </c:pt>
                <c:pt idx="87">
                  <c:v>0.77403989282524321</c:v>
                </c:pt>
                <c:pt idx="88">
                  <c:v>0.74426912771659204</c:v>
                </c:pt>
                <c:pt idx="89">
                  <c:v>0.74426912771657783</c:v>
                </c:pt>
                <c:pt idx="90">
                  <c:v>0.70854420958619357</c:v>
                </c:pt>
                <c:pt idx="91">
                  <c:v>0.62518606728191628</c:v>
                </c:pt>
                <c:pt idx="92">
                  <c:v>0.65495683239059588</c:v>
                </c:pt>
                <c:pt idx="93">
                  <c:v>0.61327776123846434</c:v>
                </c:pt>
                <c:pt idx="94">
                  <c:v>0.57159869008633279</c:v>
                </c:pt>
                <c:pt idx="95">
                  <c:v>0.54182792497766741</c:v>
                </c:pt>
                <c:pt idx="96">
                  <c:v>0.48228639476035084</c:v>
                </c:pt>
                <c:pt idx="97">
                  <c:v>0.52991961893421546</c:v>
                </c:pt>
                <c:pt idx="98">
                  <c:v>0.42869901756473894</c:v>
                </c:pt>
                <c:pt idx="99">
                  <c:v>0.42869901756475315</c:v>
                </c:pt>
                <c:pt idx="100">
                  <c:v>0.36915748734743659</c:v>
                </c:pt>
                <c:pt idx="101">
                  <c:v>0.3632033343256893</c:v>
                </c:pt>
                <c:pt idx="102">
                  <c:v>0.34534087526049007</c:v>
                </c:pt>
                <c:pt idx="103">
                  <c:v>0.31557011015182468</c:v>
                </c:pt>
                <c:pt idx="104">
                  <c:v>0.26793688597797427</c:v>
                </c:pt>
                <c:pt idx="105">
                  <c:v>0.25007442691277504</c:v>
                </c:pt>
                <c:pt idx="106">
                  <c:v>0.25602857993450812</c:v>
                </c:pt>
                <c:pt idx="107">
                  <c:v>0.2083953557606435</c:v>
                </c:pt>
                <c:pt idx="108">
                  <c:v>0.21434950878236236</c:v>
                </c:pt>
                <c:pt idx="109">
                  <c:v>0.19648704971717734</c:v>
                </c:pt>
                <c:pt idx="110">
                  <c:v>4.1679071152131542E-2</c:v>
                </c:pt>
                <c:pt idx="111">
                  <c:v>0.17862459065197811</c:v>
                </c:pt>
                <c:pt idx="112">
                  <c:v>5.3587377195597696E-2</c:v>
                </c:pt>
                <c:pt idx="113">
                  <c:v>7.7403989282530006E-2</c:v>
                </c:pt>
                <c:pt idx="114">
                  <c:v>4.7633224173850408E-2</c:v>
                </c:pt>
                <c:pt idx="115">
                  <c:v>3.5724918130412675E-2</c:v>
                </c:pt>
                <c:pt idx="116">
                  <c:v>4.1679071152117331E-2</c:v>
                </c:pt>
                <c:pt idx="117">
                  <c:v>0</c:v>
                </c:pt>
                <c:pt idx="118">
                  <c:v>1.1908306043466155E-2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934976"/>
        <c:axId val="107808640"/>
      </c:scatterChart>
      <c:valAx>
        <c:axId val="103934976"/>
        <c:scaling>
          <c:logBase val="10"/>
          <c:orientation val="minMax"/>
          <c:max val="100"/>
          <c:min val="1.0000000000000041E-3"/>
        </c:scaling>
        <c:delete val="0"/>
        <c:axPos val="t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gradFill rotWithShape="1"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Pore Aperture Diameter (microns)</a:t>
                </a:r>
              </a:p>
            </c:rich>
          </c:tx>
          <c:layout>
            <c:manualLayout>
              <c:xMode val="edge"/>
              <c:yMode val="edge"/>
              <c:x val="0.36675497039079008"/>
              <c:y val="0.92355761574540307"/>
            </c:manualLayout>
          </c:layout>
          <c:overlay val="0"/>
          <c:spPr>
            <a:noFill/>
            <a:ln w="25400">
              <a:noFill/>
            </a:ln>
          </c:spPr>
        </c:title>
        <c:numFmt formatCode="??0.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/>
            </a:pPr>
            <a:endParaRPr lang="en-US"/>
          </a:p>
        </c:txPr>
        <c:crossAx val="107808640"/>
        <c:crosses val="autoZero"/>
        <c:crossBetween val="midCat"/>
        <c:majorUnit val="10"/>
        <c:minorUnit val="10"/>
      </c:valAx>
      <c:valAx>
        <c:axId val="107808640"/>
        <c:scaling>
          <c:orientation val="maxMin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Incremental Intrusion as Percent of Pore Volume</a:t>
                </a:r>
              </a:p>
            </c:rich>
          </c:tx>
          <c:layout>
            <c:manualLayout>
              <c:xMode val="edge"/>
              <c:yMode val="edge"/>
              <c:x val="1.0568979145875295E-2"/>
              <c:y val="0.2125122153495171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580"/>
            </a:pPr>
            <a:endParaRPr lang="en-US"/>
          </a:p>
        </c:txPr>
        <c:crossAx val="103934976"/>
        <c:crossesAt val="1.0000000000000041E-3"/>
        <c:crossBetween val="midCat"/>
      </c:valAx>
      <c:spPr>
        <a:noFill/>
        <a:ln w="3175">
          <a:solidFill>
            <a:srgbClr val="000000"/>
          </a:solidFill>
        </a:ln>
      </c:spPr>
    </c:plotArea>
    <c:plotVisOnly val="0"/>
    <c:dispBlanksAs val="gap"/>
    <c:showDLblsOverMax val="0"/>
  </c:chart>
  <c:spPr>
    <a:solidFill>
      <a:schemeClr val="accent2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0.75000000000000955" l="0.70000000000000062" r="0.70000000000000062" t="0.75000000000000955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image" Target="../media/image2.jpeg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1</xdr:col>
      <xdr:colOff>476250</xdr:colOff>
      <xdr:row>2</xdr:row>
      <xdr:rowOff>152400</xdr:rowOff>
    </xdr:to>
    <xdr:pic>
      <xdr:nvPicPr>
        <xdr:cNvPr id="33822" name="Picture 2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9050"/>
          <a:ext cx="1110870" cy="463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104775</xdr:rowOff>
    </xdr:to>
    <xdr:pic>
      <xdr:nvPicPr>
        <xdr:cNvPr id="27925" name="Picture 20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058872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9525</xdr:colOff>
      <xdr:row>7</xdr:row>
      <xdr:rowOff>161924</xdr:rowOff>
    </xdr:from>
    <xdr:to>
      <xdr:col>5</xdr:col>
      <xdr:colOff>19812</xdr:colOff>
      <xdr:row>26</xdr:row>
      <xdr:rowOff>2666</xdr:rowOff>
    </xdr:to>
    <xdr:graphicFrame macro="">
      <xdr:nvGraphicFramePr>
        <xdr:cNvPr id="27923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762</xdr:colOff>
      <xdr:row>8</xdr:row>
      <xdr:rowOff>2666</xdr:rowOff>
    </xdr:from>
    <xdr:to>
      <xdr:col>10</xdr:col>
      <xdr:colOff>11049</xdr:colOff>
      <xdr:row>26</xdr:row>
      <xdr:rowOff>5333</xdr:rowOff>
    </xdr:to>
    <xdr:graphicFrame macro="">
      <xdr:nvGraphicFramePr>
        <xdr:cNvPr id="11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8</xdr:row>
      <xdr:rowOff>0</xdr:rowOff>
    </xdr:from>
    <xdr:to>
      <xdr:col>14</xdr:col>
      <xdr:colOff>540444</xdr:colOff>
      <xdr:row>26</xdr:row>
      <xdr:rowOff>2667</xdr:rowOff>
    </xdr:to>
    <xdr:graphicFrame macro="">
      <xdr:nvGraphicFramePr>
        <xdr:cNvPr id="27922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9525</xdr:colOff>
      <xdr:row>25</xdr:row>
      <xdr:rowOff>147759</xdr:rowOff>
    </xdr:from>
    <xdr:to>
      <xdr:col>5</xdr:col>
      <xdr:colOff>19812</xdr:colOff>
      <xdr:row>43</xdr:row>
      <xdr:rowOff>161924</xdr:rowOff>
    </xdr:to>
    <xdr:graphicFrame macro="">
      <xdr:nvGraphicFramePr>
        <xdr:cNvPr id="27924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540445</xdr:colOff>
      <xdr:row>25</xdr:row>
      <xdr:rowOff>147761</xdr:rowOff>
    </xdr:from>
    <xdr:to>
      <xdr:col>15</xdr:col>
      <xdr:colOff>0</xdr:colOff>
      <xdr:row>44</xdr:row>
      <xdr:rowOff>0</xdr:rowOff>
    </xdr:to>
    <xdr:graphicFrame macro="">
      <xdr:nvGraphicFramePr>
        <xdr:cNvPr id="10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1</xdr:col>
      <xdr:colOff>476250</xdr:colOff>
      <xdr:row>2</xdr:row>
      <xdr:rowOff>114300</xdr:rowOff>
    </xdr:to>
    <xdr:pic>
      <xdr:nvPicPr>
        <xdr:cNvPr id="29826" name="Picture 2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9050"/>
          <a:ext cx="1069385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104775</xdr:rowOff>
    </xdr:to>
    <xdr:pic>
      <xdr:nvPicPr>
        <xdr:cNvPr id="29827" name="Picture 20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069385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14</xdr:col>
      <xdr:colOff>862742</xdr:colOff>
      <xdr:row>30</xdr:row>
      <xdr:rowOff>159258</xdr:rowOff>
    </xdr:to>
    <xdr:graphicFrame macro="">
      <xdr:nvGraphicFramePr>
        <xdr:cNvPr id="2983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8</xdr:row>
      <xdr:rowOff>0</xdr:rowOff>
    </xdr:from>
    <xdr:to>
      <xdr:col>8</xdr:col>
      <xdr:colOff>0</xdr:colOff>
      <xdr:row>31</xdr:row>
      <xdr:rowOff>0</xdr:rowOff>
    </xdr:to>
    <xdr:graphicFrame macro="">
      <xdr:nvGraphicFramePr>
        <xdr:cNvPr id="2983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7</xdr:col>
      <xdr:colOff>320802</xdr:colOff>
      <xdr:row>53</xdr:row>
      <xdr:rowOff>159258</xdr:rowOff>
    </xdr:to>
    <xdr:graphicFrame macro="">
      <xdr:nvGraphicFramePr>
        <xdr:cNvPr id="9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3048</xdr:colOff>
      <xdr:row>31</xdr:row>
      <xdr:rowOff>0</xdr:rowOff>
    </xdr:from>
    <xdr:to>
      <xdr:col>15</xdr:col>
      <xdr:colOff>0</xdr:colOff>
      <xdr:row>53</xdr:row>
      <xdr:rowOff>159258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142875</xdr:rowOff>
    </xdr:to>
    <xdr:pic>
      <xdr:nvPicPr>
        <xdr:cNvPr id="2080" name="Picture 3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110870" cy="463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1"/>
  <sheetViews>
    <sheetView showGridLines="0" tabSelected="1" workbookViewId="0">
      <pane xSplit="2" ySplit="17" topLeftCell="C18" activePane="bottomRight" state="frozen"/>
      <selection activeCell="E35" sqref="E35"/>
      <selection pane="topRight" activeCell="E35" sqref="E35"/>
      <selection pane="bottomLeft" activeCell="E35" sqref="E35"/>
      <selection pane="bottomRight" activeCell="A11" sqref="A11"/>
    </sheetView>
  </sheetViews>
  <sheetFormatPr defaultColWidth="8.85546875" defaultRowHeight="12.75" x14ac:dyDescent="0.2"/>
  <cols>
    <col min="1" max="1" width="8.85546875" style="89"/>
    <col min="2" max="2" width="10.7109375" style="89" customWidth="1"/>
    <col min="3" max="3" width="16.140625" style="89" customWidth="1"/>
    <col min="4" max="4" width="10.5703125" style="89" customWidth="1"/>
    <col min="5" max="5" width="9.5703125" style="89" customWidth="1"/>
    <col min="6" max="6" width="10.7109375" style="89" customWidth="1"/>
    <col min="7" max="14" width="9.5703125" style="89" customWidth="1"/>
    <col min="15" max="15" width="8.85546875" style="89"/>
    <col min="16" max="17" width="10.7109375" style="89" customWidth="1"/>
    <col min="18" max="19" width="8.85546875" style="89"/>
    <col min="20" max="20" width="9.5703125" style="89" bestFit="1" customWidth="1"/>
    <col min="21" max="21" width="8.85546875" style="89"/>
    <col min="22" max="22" width="7.5703125" style="89" customWidth="1"/>
    <col min="23" max="23" width="11.5703125" style="11" bestFit="1" customWidth="1"/>
    <col min="24" max="24" width="13" style="11" customWidth="1"/>
    <col min="25" max="37" width="8.85546875" style="11"/>
    <col min="38" max="38" width="15.85546875" style="11" customWidth="1"/>
    <col min="39" max="16384" width="8.85546875" style="11"/>
  </cols>
  <sheetData>
    <row r="1" spans="1:40" x14ac:dyDescent="0.2">
      <c r="X1" s="48"/>
      <c r="Y1" s="25"/>
      <c r="Z1" s="25"/>
      <c r="AA1" s="44"/>
      <c r="AB1" s="44"/>
    </row>
    <row r="2" spans="1:40" x14ac:dyDescent="0.2">
      <c r="X2" s="76"/>
      <c r="Y2" s="76"/>
      <c r="Z2" s="41"/>
      <c r="AA2" s="41"/>
      <c r="AB2" s="55"/>
      <c r="AC2" s="55"/>
    </row>
    <row r="3" spans="1:40" x14ac:dyDescent="0.2">
      <c r="X3" s="24"/>
      <c r="Y3" s="94"/>
      <c r="Z3" s="33"/>
      <c r="AA3" s="55"/>
      <c r="AB3" s="129"/>
      <c r="AC3" s="129"/>
    </row>
    <row r="4" spans="1:40" x14ac:dyDescent="0.2">
      <c r="X4" s="24"/>
      <c r="Y4" s="94"/>
      <c r="Z4" s="33"/>
      <c r="AA4" s="55"/>
      <c r="AB4" s="129"/>
      <c r="AC4" s="129"/>
      <c r="AL4" s="98"/>
      <c r="AM4" s="98"/>
      <c r="AN4" s="98"/>
    </row>
    <row r="5" spans="1:40" ht="15.75" x14ac:dyDescent="0.25">
      <c r="A5" s="160" t="s">
        <v>11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34"/>
      <c r="O5" s="134"/>
      <c r="P5" s="134"/>
      <c r="Q5" s="134"/>
      <c r="R5" s="134"/>
      <c r="S5" s="134"/>
      <c r="T5" s="102"/>
      <c r="U5" s="8"/>
      <c r="V5" s="8"/>
      <c r="W5" s="94"/>
      <c r="X5" s="24"/>
      <c r="Y5" s="94"/>
      <c r="Z5" s="55"/>
      <c r="AA5" s="97"/>
      <c r="AB5" s="97"/>
      <c r="AC5" s="97"/>
      <c r="AL5" s="98"/>
      <c r="AM5" s="98"/>
      <c r="AN5" s="98"/>
    </row>
    <row r="6" spans="1:40" x14ac:dyDescent="0.2">
      <c r="A6" s="152"/>
      <c r="B6" s="8"/>
      <c r="C6" s="8"/>
      <c r="D6" s="8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8"/>
      <c r="P6" s="8"/>
      <c r="Q6" s="8"/>
      <c r="R6" s="152"/>
      <c r="S6" s="8"/>
      <c r="T6" s="8"/>
      <c r="U6" s="8"/>
      <c r="V6" s="8"/>
      <c r="W6" s="94"/>
      <c r="X6" s="24"/>
      <c r="Y6" s="94"/>
      <c r="Z6" s="55"/>
      <c r="AA6" s="51"/>
      <c r="AB6" s="33"/>
      <c r="AC6" s="33"/>
      <c r="AL6" s="98"/>
      <c r="AM6" s="98"/>
      <c r="AN6" s="98"/>
    </row>
    <row r="7" spans="1:40" ht="12.4" customHeight="1" x14ac:dyDescent="0.2">
      <c r="A7" s="109" t="str">
        <f>Table!A7</f>
        <v>NordAq Energy Inc.</v>
      </c>
      <c r="B7" s="152"/>
      <c r="C7" s="152"/>
      <c r="D7" s="152"/>
      <c r="E7" s="8"/>
      <c r="F7" s="8"/>
      <c r="G7" s="8"/>
      <c r="H7" s="8"/>
      <c r="I7" s="89" t="str">
        <f>Table!L7</f>
        <v>Sample Number:</v>
      </c>
      <c r="M7" s="125" t="str">
        <f>Table!P7</f>
        <v>10</v>
      </c>
      <c r="N7" s="8"/>
      <c r="O7" s="109"/>
      <c r="P7" s="38"/>
      <c r="Q7" s="76"/>
      <c r="R7" s="76"/>
      <c r="S7" s="41"/>
      <c r="T7" s="51"/>
      <c r="U7" s="22"/>
      <c r="V7" s="33"/>
      <c r="AE7" s="12"/>
      <c r="AF7" s="114"/>
      <c r="AG7" s="114"/>
    </row>
    <row r="8" spans="1:40" ht="12.4" customHeight="1" x14ac:dyDescent="0.2">
      <c r="A8" s="109" t="str">
        <f>Table!A8</f>
        <v>East Simpson No. 2 (USGS/Husky 1980)</v>
      </c>
      <c r="B8" s="152"/>
      <c r="C8" s="152"/>
      <c r="D8" s="152"/>
      <c r="E8" s="152"/>
      <c r="F8" s="152"/>
      <c r="G8" s="152"/>
      <c r="H8" s="152"/>
      <c r="I8" s="89" t="str">
        <f>Table!L8</f>
        <v>Sample Depth, m:</v>
      </c>
      <c r="M8" s="108">
        <f>Table!P8</f>
        <v>6075.4</v>
      </c>
      <c r="N8" s="8"/>
      <c r="O8" s="109"/>
      <c r="P8" s="38"/>
      <c r="Q8" s="76"/>
      <c r="R8" s="76"/>
      <c r="S8" s="41"/>
      <c r="T8" s="51"/>
      <c r="U8" s="22"/>
      <c r="V8" s="33"/>
      <c r="AE8" s="29"/>
      <c r="AF8" s="114"/>
      <c r="AG8" s="114"/>
    </row>
    <row r="9" spans="1:40" ht="12.4" customHeight="1" x14ac:dyDescent="0.2">
      <c r="A9" s="109" t="str">
        <f>Table!A9</f>
        <v>Torok Sandstones Formation</v>
      </c>
      <c r="B9" s="152"/>
      <c r="C9" s="152"/>
      <c r="D9" s="152"/>
      <c r="E9" s="152"/>
      <c r="F9" s="152"/>
      <c r="G9" s="152"/>
      <c r="H9" s="152"/>
      <c r="I9" s="154" t="str">
        <f>Table!L9</f>
        <v>Permeability to Air (calc), mD:</v>
      </c>
      <c r="K9" s="152"/>
      <c r="L9" s="152"/>
      <c r="M9" s="30">
        <f>Table!P9</f>
        <v>1.5306938498301241</v>
      </c>
      <c r="N9" s="8"/>
      <c r="O9" s="109" t="s">
        <v>39</v>
      </c>
      <c r="P9" s="38"/>
      <c r="Q9" s="94"/>
      <c r="R9" s="76"/>
      <c r="S9" s="76"/>
      <c r="T9" s="145"/>
      <c r="U9" s="145"/>
      <c r="V9" s="155"/>
      <c r="AE9" s="29"/>
      <c r="AF9" s="114"/>
      <c r="AG9" s="114"/>
    </row>
    <row r="10" spans="1:40" ht="12.4" customHeight="1" x14ac:dyDescent="0.2">
      <c r="A10" s="109" t="str">
        <f>Table!A10</f>
        <v>HH-61176</v>
      </c>
      <c r="B10" s="152"/>
      <c r="C10" s="152"/>
      <c r="D10" s="152"/>
      <c r="E10" s="8"/>
      <c r="F10" s="8"/>
      <c r="G10" s="8"/>
      <c r="H10" s="8"/>
      <c r="I10" s="154" t="str">
        <f>Table!L10</f>
        <v>Porosity, fraction:</v>
      </c>
      <c r="K10" s="152"/>
      <c r="L10" s="152"/>
      <c r="M10" s="2">
        <f>K30</f>
        <v>0.15669867858216641</v>
      </c>
      <c r="N10" s="8"/>
      <c r="O10" s="85" t="s">
        <v>39</v>
      </c>
      <c r="P10" s="6"/>
      <c r="Q10" s="94"/>
      <c r="R10" s="76"/>
      <c r="S10" s="76"/>
      <c r="T10" s="145"/>
      <c r="U10" s="41"/>
      <c r="V10" s="155"/>
      <c r="AE10" s="29"/>
      <c r="AF10" s="114"/>
      <c r="AG10" s="114"/>
    </row>
    <row r="11" spans="1:40" ht="12.4" customHeight="1" x14ac:dyDescent="0.2">
      <c r="A11" s="150"/>
      <c r="B11" s="152"/>
      <c r="C11" s="152"/>
      <c r="D11" s="152"/>
      <c r="E11" s="8"/>
      <c r="F11" s="8"/>
      <c r="G11" s="8"/>
      <c r="H11" s="152"/>
      <c r="I11" s="89" t="str">
        <f>Table!L11</f>
        <v>Grain Density, grams/cc:</v>
      </c>
      <c r="M11" s="30">
        <f>L30</f>
        <v>2.674994653644446</v>
      </c>
      <c r="N11" s="8"/>
      <c r="O11" s="85" t="s">
        <v>39</v>
      </c>
      <c r="P11" s="6"/>
      <c r="Q11" s="76"/>
      <c r="R11" s="48"/>
      <c r="S11" s="25"/>
      <c r="T11" s="25"/>
      <c r="U11" s="47"/>
      <c r="V11" s="11"/>
      <c r="AE11" s="29"/>
      <c r="AF11" s="114"/>
      <c r="AG11" s="114"/>
    </row>
    <row r="12" spans="1:40" ht="12.4" customHeight="1" x14ac:dyDescent="0.2">
      <c r="A12" s="109"/>
      <c r="B12" s="152"/>
      <c r="C12" s="152"/>
      <c r="D12" s="152"/>
      <c r="E12" s="152"/>
      <c r="F12" s="152"/>
      <c r="G12" s="152"/>
      <c r="H12" s="152"/>
      <c r="I12" s="152"/>
      <c r="J12" s="154"/>
      <c r="K12" s="152"/>
      <c r="L12" s="152"/>
      <c r="M12" s="2"/>
      <c r="N12" s="8"/>
      <c r="O12" s="128"/>
      <c r="P12" s="55"/>
      <c r="Q12" s="76"/>
      <c r="R12" s="94"/>
      <c r="S12" s="76"/>
      <c r="T12" s="4"/>
      <c r="U12" s="94"/>
      <c r="V12" s="11"/>
      <c r="AE12" s="114"/>
      <c r="AF12" s="114"/>
      <c r="AG12" s="114"/>
    </row>
    <row r="13" spans="1:40" ht="12.4" customHeight="1" x14ac:dyDescent="0.2">
      <c r="A13" s="131"/>
      <c r="B13" s="131" t="s">
        <v>58</v>
      </c>
      <c r="C13" s="131" t="s">
        <v>57</v>
      </c>
      <c r="D13" s="131" t="s">
        <v>58</v>
      </c>
      <c r="E13" s="131" t="s">
        <v>57</v>
      </c>
      <c r="F13" s="131" t="s">
        <v>91</v>
      </c>
      <c r="G13" s="23"/>
      <c r="H13" s="23"/>
      <c r="N13" s="8"/>
      <c r="O13" s="128"/>
      <c r="P13" s="55"/>
      <c r="Q13" s="76"/>
      <c r="R13" s="76"/>
      <c r="S13" s="76"/>
      <c r="T13" s="4"/>
      <c r="U13" s="76"/>
      <c r="V13" s="11"/>
      <c r="AE13" s="114"/>
      <c r="AF13" s="114"/>
      <c r="AG13" s="114"/>
    </row>
    <row r="14" spans="1:40" ht="12.4" customHeight="1" x14ac:dyDescent="0.2">
      <c r="A14" s="64" t="s">
        <v>85</v>
      </c>
      <c r="B14" s="64" t="s">
        <v>63</v>
      </c>
      <c r="C14" s="64" t="s">
        <v>63</v>
      </c>
      <c r="D14" s="64" t="s">
        <v>63</v>
      </c>
      <c r="E14" s="64" t="s">
        <v>63</v>
      </c>
      <c r="F14" s="64" t="s">
        <v>50</v>
      </c>
      <c r="G14" s="23"/>
      <c r="H14" s="23"/>
      <c r="I14" s="10"/>
      <c r="J14" s="10"/>
      <c r="K14" s="10"/>
      <c r="L14" s="10"/>
      <c r="M14" s="10"/>
      <c r="N14" s="8"/>
      <c r="O14" s="128"/>
      <c r="P14" s="55"/>
      <c r="Q14" s="76"/>
      <c r="R14" s="76"/>
      <c r="S14" s="76"/>
      <c r="T14" s="4"/>
      <c r="U14" s="76"/>
      <c r="V14" s="11"/>
      <c r="AE14" s="114"/>
      <c r="AF14" s="114"/>
      <c r="AG14" s="114"/>
    </row>
    <row r="15" spans="1:40" ht="12.4" customHeight="1" x14ac:dyDescent="0.2">
      <c r="A15" s="64" t="s">
        <v>78</v>
      </c>
      <c r="B15" s="64" t="s">
        <v>3</v>
      </c>
      <c r="C15" s="64" t="s">
        <v>3</v>
      </c>
      <c r="D15" s="64" t="s">
        <v>5</v>
      </c>
      <c r="E15" s="64" t="s">
        <v>5</v>
      </c>
      <c r="F15" s="64" t="s">
        <v>5</v>
      </c>
      <c r="G15" s="23"/>
      <c r="H15" s="23"/>
      <c r="I15" s="23"/>
      <c r="J15" s="23"/>
      <c r="K15" s="23"/>
      <c r="L15" s="10"/>
      <c r="M15" s="10"/>
      <c r="N15" s="152"/>
      <c r="O15" s="128"/>
      <c r="P15" s="55"/>
      <c r="Q15" s="76"/>
      <c r="R15" s="76"/>
      <c r="S15" s="76"/>
      <c r="T15" s="4"/>
      <c r="U15" s="76"/>
      <c r="V15" s="11"/>
      <c r="AE15" s="114"/>
      <c r="AF15" s="114"/>
      <c r="AG15" s="114"/>
    </row>
    <row r="16" spans="1:40" ht="12.4" customHeight="1" x14ac:dyDescent="0.2">
      <c r="A16" s="156" t="s">
        <v>49</v>
      </c>
      <c r="B16" s="156" t="s">
        <v>36</v>
      </c>
      <c r="C16" s="156" t="s">
        <v>36</v>
      </c>
      <c r="D16" s="156" t="s">
        <v>25</v>
      </c>
      <c r="E16" s="156" t="s">
        <v>25</v>
      </c>
      <c r="F16" s="156" t="s">
        <v>25</v>
      </c>
      <c r="G16" s="23"/>
      <c r="H16" s="23"/>
      <c r="I16" s="23"/>
      <c r="J16" s="23"/>
      <c r="K16" s="23"/>
      <c r="L16" s="23"/>
      <c r="M16" s="23"/>
      <c r="N16" s="152"/>
      <c r="O16" s="55"/>
      <c r="P16" s="55"/>
      <c r="Q16" s="94"/>
      <c r="R16" s="11"/>
      <c r="S16" s="11"/>
      <c r="T16" s="11"/>
      <c r="U16" s="11"/>
      <c r="V16" s="11"/>
      <c r="AE16" s="114"/>
      <c r="AF16" s="114"/>
      <c r="AG16" s="114"/>
    </row>
    <row r="17" spans="1:35" ht="12.4" customHeight="1" x14ac:dyDescent="0.2">
      <c r="A17" s="8"/>
      <c r="B17" s="8"/>
      <c r="E17" s="8"/>
      <c r="F17" s="8"/>
      <c r="G17" s="8"/>
      <c r="H17" s="8"/>
      <c r="I17" s="8"/>
      <c r="J17" s="8"/>
      <c r="K17" s="8"/>
      <c r="L17" s="8"/>
      <c r="M17" s="8"/>
      <c r="N17" s="152"/>
      <c r="O17" s="55"/>
      <c r="P17" s="55"/>
      <c r="Q17" s="24"/>
      <c r="R17" s="94"/>
      <c r="S17" s="94"/>
      <c r="T17" s="158"/>
      <c r="U17" s="11"/>
      <c r="V17" s="11"/>
      <c r="AE17" s="114"/>
      <c r="AF17" s="114"/>
      <c r="AG17" s="114"/>
    </row>
    <row r="18" spans="1:35" ht="12.4" customHeight="1" x14ac:dyDescent="0.2">
      <c r="A18" s="43">
        <v>1.5079505443572998</v>
      </c>
      <c r="B18" s="139">
        <v>0</v>
      </c>
      <c r="C18" s="60">
        <f t="shared" ref="C18:C136" si="0">IF(B18-I$34&lt;0,0,B18-I$34)</f>
        <v>0</v>
      </c>
      <c r="D18" s="60">
        <f t="shared" ref="D18:D136" si="1">B18/$B$136</f>
        <v>0</v>
      </c>
      <c r="E18" s="60">
        <f t="shared" ref="E18:E136" si="2">C18/$H$30</f>
        <v>0</v>
      </c>
      <c r="F18" s="60">
        <f t="shared" ref="F18:F136" si="3">E18-E17</f>
        <v>0</v>
      </c>
      <c r="G18" s="60"/>
      <c r="H18" s="15" t="s">
        <v>19</v>
      </c>
      <c r="I18" s="148"/>
      <c r="J18" s="148"/>
      <c r="K18" s="148"/>
      <c r="L18" s="148"/>
      <c r="M18" s="83"/>
      <c r="O18" s="43"/>
      <c r="P18" s="55"/>
      <c r="Q18" s="91"/>
      <c r="R18" s="34"/>
      <c r="S18" s="58"/>
      <c r="T18" s="112"/>
      <c r="U18" s="112"/>
      <c r="V18" s="112"/>
      <c r="W18" s="122"/>
      <c r="X18" s="91"/>
      <c r="AG18" s="114"/>
      <c r="AH18" s="114"/>
      <c r="AI18" s="114"/>
    </row>
    <row r="19" spans="1:35" ht="12.4" customHeight="1" x14ac:dyDescent="0.2">
      <c r="A19" s="43">
        <v>1.5989933013916016</v>
      </c>
      <c r="B19" s="139">
        <v>1.7851946235937389E-3</v>
      </c>
      <c r="C19" s="60">
        <f t="shared" si="0"/>
        <v>0</v>
      </c>
      <c r="D19" s="60">
        <f t="shared" si="1"/>
        <v>1.0420879235905698E-3</v>
      </c>
      <c r="E19" s="60">
        <f t="shared" si="2"/>
        <v>0</v>
      </c>
      <c r="F19" s="60">
        <f t="shared" si="3"/>
        <v>0</v>
      </c>
      <c r="G19" s="60"/>
      <c r="H19" s="131" t="s">
        <v>89</v>
      </c>
      <c r="I19" s="131" t="s">
        <v>2</v>
      </c>
      <c r="J19" s="131" t="s">
        <v>84</v>
      </c>
      <c r="K19" s="131"/>
      <c r="L19" s="131" t="s">
        <v>84</v>
      </c>
      <c r="M19" s="131" t="s">
        <v>15</v>
      </c>
      <c r="O19" s="43"/>
      <c r="P19" s="55"/>
      <c r="Q19" s="91"/>
      <c r="R19" s="34"/>
      <c r="S19" s="23"/>
      <c r="T19" s="23"/>
      <c r="U19" s="23"/>
      <c r="V19" s="23"/>
      <c r="W19" s="122"/>
      <c r="X19" s="91"/>
      <c r="AG19" s="114"/>
      <c r="AH19" s="114"/>
      <c r="AI19" s="114"/>
    </row>
    <row r="20" spans="1:35" ht="12.4" customHeight="1" x14ac:dyDescent="0.2">
      <c r="A20" s="43">
        <v>1.8068345785140991</v>
      </c>
      <c r="B20" s="139">
        <v>3.6341460991629036E-3</v>
      </c>
      <c r="C20" s="60">
        <f t="shared" si="0"/>
        <v>0</v>
      </c>
      <c r="D20" s="60">
        <f t="shared" si="1"/>
        <v>2.1213932153110039E-3</v>
      </c>
      <c r="E20" s="60">
        <f t="shared" si="2"/>
        <v>0</v>
      </c>
      <c r="F20" s="60">
        <f t="shared" si="3"/>
        <v>0</v>
      </c>
      <c r="G20" s="60"/>
      <c r="H20" s="64" t="s">
        <v>3</v>
      </c>
      <c r="I20" s="64" t="s">
        <v>3</v>
      </c>
      <c r="J20" s="64" t="s">
        <v>3</v>
      </c>
      <c r="K20" s="64" t="s">
        <v>62</v>
      </c>
      <c r="L20" s="64" t="s">
        <v>40</v>
      </c>
      <c r="M20" s="64" t="s">
        <v>9</v>
      </c>
      <c r="O20" s="43"/>
      <c r="P20" s="55"/>
      <c r="Q20" s="91"/>
      <c r="R20" s="34"/>
      <c r="S20" s="23"/>
      <c r="T20" s="23"/>
      <c r="U20" s="23"/>
      <c r="V20" s="23"/>
      <c r="W20" s="122"/>
      <c r="X20" s="91"/>
      <c r="AG20" s="114"/>
      <c r="AH20" s="114"/>
      <c r="AI20" s="114"/>
    </row>
    <row r="21" spans="1:35" ht="12.4" customHeight="1" x14ac:dyDescent="0.2">
      <c r="A21" s="43">
        <v>2.0094594955444336</v>
      </c>
      <c r="B21" s="139">
        <v>3.8254170241934227E-3</v>
      </c>
      <c r="C21" s="60">
        <f t="shared" si="0"/>
        <v>0</v>
      </c>
      <c r="D21" s="60">
        <f t="shared" si="1"/>
        <v>2.2330455351611792E-3</v>
      </c>
      <c r="E21" s="60">
        <f t="shared" si="2"/>
        <v>0</v>
      </c>
      <c r="F21" s="60">
        <f t="shared" si="3"/>
        <v>0</v>
      </c>
      <c r="G21" s="60"/>
      <c r="H21" s="156" t="s">
        <v>36</v>
      </c>
      <c r="I21" s="156" t="s">
        <v>36</v>
      </c>
      <c r="J21" s="156" t="s">
        <v>36</v>
      </c>
      <c r="K21" s="156" t="s">
        <v>25</v>
      </c>
      <c r="L21" s="156" t="s">
        <v>26</v>
      </c>
      <c r="M21" s="156" t="s">
        <v>18</v>
      </c>
      <c r="O21" s="43"/>
      <c r="P21" s="55"/>
      <c r="Q21" s="91"/>
      <c r="R21" s="34"/>
      <c r="S21" s="23"/>
      <c r="T21" s="23"/>
      <c r="U21" s="23"/>
      <c r="V21" s="23"/>
      <c r="W21" s="122"/>
      <c r="X21" s="91"/>
      <c r="AG21" s="130"/>
      <c r="AH21" s="114"/>
      <c r="AI21" s="114"/>
    </row>
    <row r="22" spans="1:35" ht="12.4" customHeight="1" x14ac:dyDescent="0.2">
      <c r="A22" s="43">
        <v>2.1648108959197998</v>
      </c>
      <c r="B22" s="139">
        <v>1.0647410520482764E-2</v>
      </c>
      <c r="C22" s="60">
        <f t="shared" si="0"/>
        <v>0</v>
      </c>
      <c r="D22" s="60">
        <f t="shared" si="1"/>
        <v>6.2153099579529709E-3</v>
      </c>
      <c r="E22" s="60">
        <f t="shared" si="2"/>
        <v>0</v>
      </c>
      <c r="F22" s="60">
        <f t="shared" si="3"/>
        <v>0</v>
      </c>
      <c r="G22" s="60"/>
      <c r="H22" s="143"/>
      <c r="I22" s="43"/>
      <c r="J22" s="43"/>
      <c r="K22" s="43"/>
      <c r="L22" s="43"/>
      <c r="M22" s="43"/>
      <c r="O22" s="43"/>
      <c r="P22" s="55"/>
      <c r="Q22" s="91"/>
      <c r="R22" s="34"/>
      <c r="S22" s="66"/>
      <c r="T22" s="122"/>
      <c r="U22" s="122"/>
      <c r="V22" s="122"/>
      <c r="W22" s="122"/>
      <c r="X22" s="91"/>
      <c r="AG22" s="130"/>
      <c r="AH22" s="114"/>
      <c r="AI22" s="114"/>
    </row>
    <row r="23" spans="1:35" ht="12.4" customHeight="1" x14ac:dyDescent="0.2">
      <c r="A23" s="43">
        <v>2.3579812049865723</v>
      </c>
      <c r="B23" s="139">
        <v>1.3261445880726126E-2</v>
      </c>
      <c r="C23" s="60">
        <f t="shared" si="0"/>
        <v>0</v>
      </c>
      <c r="D23" s="60">
        <f t="shared" si="1"/>
        <v>7.7412246368043971E-3</v>
      </c>
      <c r="E23" s="60">
        <f t="shared" si="2"/>
        <v>0</v>
      </c>
      <c r="F23" s="60">
        <f t="shared" si="3"/>
        <v>0</v>
      </c>
      <c r="G23" s="60"/>
      <c r="H23" s="82">
        <f>I23-J23</f>
        <v>1.7200000000000006</v>
      </c>
      <c r="I23" s="82">
        <v>10.76</v>
      </c>
      <c r="J23" s="82">
        <v>9.0399999999999991</v>
      </c>
      <c r="K23" s="63">
        <f>H23/I23</f>
        <v>0.15985130111524171</v>
      </c>
      <c r="L23" s="82">
        <f>M23/J23</f>
        <v>2.674557522123894</v>
      </c>
      <c r="M23" s="82">
        <v>24.178000000000001</v>
      </c>
      <c r="O23" s="13"/>
      <c r="P23" s="55"/>
      <c r="Q23" s="91"/>
      <c r="R23" s="34"/>
      <c r="S23" s="61"/>
      <c r="T23" s="61"/>
      <c r="U23" s="61"/>
      <c r="V23" s="61"/>
      <c r="W23" s="122"/>
      <c r="X23" s="91"/>
      <c r="AG23" s="130"/>
      <c r="AH23" s="114"/>
      <c r="AI23" s="114"/>
    </row>
    <row r="24" spans="1:35" ht="12.4" customHeight="1" x14ac:dyDescent="0.2">
      <c r="A24" s="43">
        <v>2.5763368606567383</v>
      </c>
      <c r="B24" s="139">
        <v>1.6258023091030527E-2</v>
      </c>
      <c r="C24" s="60">
        <f t="shared" si="0"/>
        <v>0</v>
      </c>
      <c r="D24" s="60">
        <f t="shared" si="1"/>
        <v>9.4904439553561738E-3</v>
      </c>
      <c r="E24" s="60">
        <f t="shared" si="2"/>
        <v>0</v>
      </c>
      <c r="F24" s="60">
        <f t="shared" si="3"/>
        <v>0</v>
      </c>
      <c r="G24" s="60"/>
      <c r="O24" s="43"/>
      <c r="P24" s="55"/>
      <c r="Q24" s="91"/>
      <c r="R24" s="34"/>
      <c r="S24" s="11"/>
      <c r="T24" s="11"/>
      <c r="U24" s="11"/>
      <c r="V24" s="11"/>
      <c r="W24" s="122"/>
      <c r="X24" s="91"/>
      <c r="AG24" s="130"/>
      <c r="AH24" s="114"/>
      <c r="AI24" s="114"/>
    </row>
    <row r="25" spans="1:35" ht="12.4" customHeight="1" x14ac:dyDescent="0.2">
      <c r="A25" s="43">
        <v>2.8118090629577637</v>
      </c>
      <c r="B25" s="139">
        <v>1.7979460308992477E-2</v>
      </c>
      <c r="C25" s="60">
        <f t="shared" si="0"/>
        <v>0</v>
      </c>
      <c r="D25" s="60">
        <f t="shared" si="1"/>
        <v>1.0495314187626005E-2</v>
      </c>
      <c r="E25" s="60">
        <f t="shared" si="2"/>
        <v>0</v>
      </c>
      <c r="F25" s="60">
        <f t="shared" si="3"/>
        <v>0</v>
      </c>
      <c r="G25" s="60"/>
      <c r="H25" s="15" t="s">
        <v>77</v>
      </c>
      <c r="I25" s="148"/>
      <c r="J25" s="148"/>
      <c r="K25" s="148"/>
      <c r="L25" s="148"/>
      <c r="M25" s="83"/>
      <c r="O25" s="43"/>
      <c r="P25" s="55"/>
      <c r="Q25" s="91"/>
      <c r="R25" s="34"/>
      <c r="S25" s="58"/>
      <c r="T25" s="112"/>
      <c r="U25" s="112"/>
      <c r="V25" s="112"/>
      <c r="W25" s="122"/>
      <c r="X25" s="91"/>
      <c r="AG25" s="3"/>
      <c r="AH25" s="114"/>
      <c r="AI25" s="114"/>
    </row>
    <row r="26" spans="1:35" ht="12.4" customHeight="1" x14ac:dyDescent="0.2">
      <c r="A26" s="43">
        <v>3.0808615684509277</v>
      </c>
      <c r="B26" s="139">
        <v>1.9509627709236633E-2</v>
      </c>
      <c r="C26" s="60">
        <f t="shared" si="0"/>
        <v>0</v>
      </c>
      <c r="D26" s="60">
        <f t="shared" si="1"/>
        <v>1.1388532746427409E-2</v>
      </c>
      <c r="E26" s="60">
        <f t="shared" si="2"/>
        <v>0</v>
      </c>
      <c r="F26" s="60">
        <f t="shared" si="3"/>
        <v>0</v>
      </c>
      <c r="G26" s="60"/>
      <c r="H26" s="131" t="s">
        <v>89</v>
      </c>
      <c r="I26" s="131" t="s">
        <v>2</v>
      </c>
      <c r="J26" s="131" t="s">
        <v>84</v>
      </c>
      <c r="K26" s="131"/>
      <c r="L26" s="131" t="s">
        <v>84</v>
      </c>
      <c r="M26" s="131" t="s">
        <v>15</v>
      </c>
      <c r="O26" s="43"/>
      <c r="P26" s="55"/>
      <c r="Q26" s="91"/>
      <c r="R26" s="34"/>
      <c r="S26" s="23"/>
      <c r="T26" s="23"/>
      <c r="U26" s="23"/>
      <c r="V26" s="23"/>
      <c r="W26" s="122"/>
      <c r="X26" s="91"/>
      <c r="AG26" s="3"/>
      <c r="AH26" s="114"/>
      <c r="AI26" s="114"/>
    </row>
    <row r="27" spans="1:35" ht="12.4" customHeight="1" x14ac:dyDescent="0.2">
      <c r="A27" s="43">
        <v>3.3865108489990234</v>
      </c>
      <c r="B27" s="139">
        <v>2.0402223636892595E-2</v>
      </c>
      <c r="C27" s="60">
        <f t="shared" si="0"/>
        <v>0</v>
      </c>
      <c r="D27" s="60">
        <f t="shared" si="1"/>
        <v>1.190957590024551E-2</v>
      </c>
      <c r="E27" s="60">
        <f t="shared" si="2"/>
        <v>0</v>
      </c>
      <c r="F27" s="60">
        <f t="shared" si="3"/>
        <v>0</v>
      </c>
      <c r="G27" s="60"/>
      <c r="H27" s="64" t="s">
        <v>3</v>
      </c>
      <c r="I27" s="64" t="s">
        <v>3</v>
      </c>
      <c r="J27" s="64" t="s">
        <v>3</v>
      </c>
      <c r="K27" s="64" t="s">
        <v>62</v>
      </c>
      <c r="L27" s="64" t="s">
        <v>40</v>
      </c>
      <c r="M27" s="64" t="s">
        <v>9</v>
      </c>
      <c r="O27" s="43"/>
      <c r="P27" s="55"/>
      <c r="Q27" s="91"/>
      <c r="R27" s="34"/>
      <c r="S27" s="23"/>
      <c r="T27" s="23"/>
      <c r="U27" s="23"/>
      <c r="V27" s="23"/>
      <c r="W27" s="122"/>
      <c r="X27" s="91"/>
      <c r="AG27" s="3"/>
      <c r="AH27" s="114"/>
      <c r="AI27" s="114"/>
    </row>
    <row r="28" spans="1:35" ht="12.4" customHeight="1" x14ac:dyDescent="0.2">
      <c r="A28" s="43">
        <v>3.6919970512390137</v>
      </c>
      <c r="B28" s="139">
        <v>2.1294821040965525E-2</v>
      </c>
      <c r="C28" s="60">
        <f t="shared" si="0"/>
        <v>0</v>
      </c>
      <c r="D28" s="60">
        <f t="shared" si="1"/>
        <v>1.243061991590594E-2</v>
      </c>
      <c r="E28" s="60">
        <f t="shared" si="2"/>
        <v>0</v>
      </c>
      <c r="F28" s="60">
        <f t="shared" si="3"/>
        <v>0</v>
      </c>
      <c r="G28" s="60"/>
      <c r="H28" s="156" t="s">
        <v>36</v>
      </c>
      <c r="I28" s="156" t="s">
        <v>36</v>
      </c>
      <c r="J28" s="156" t="s">
        <v>36</v>
      </c>
      <c r="K28" s="156" t="s">
        <v>25</v>
      </c>
      <c r="L28" s="156" t="s">
        <v>26</v>
      </c>
      <c r="M28" s="156" t="s">
        <v>18</v>
      </c>
      <c r="O28" s="43"/>
      <c r="P28" s="55"/>
      <c r="Q28" s="91"/>
      <c r="R28" s="34"/>
      <c r="S28" s="23"/>
      <c r="T28" s="23"/>
      <c r="U28" s="23"/>
      <c r="V28" s="23"/>
      <c r="W28" s="122"/>
      <c r="X28" s="91"/>
      <c r="AG28" s="3"/>
      <c r="AH28" s="114"/>
      <c r="AI28" s="114"/>
    </row>
    <row r="29" spans="1:35" ht="12.4" customHeight="1" x14ac:dyDescent="0.2">
      <c r="A29" s="43">
        <v>4.0388069152832031</v>
      </c>
      <c r="B29" s="139">
        <v>2.2059904741087603E-2</v>
      </c>
      <c r="C29" s="60">
        <f t="shared" si="0"/>
        <v>0</v>
      </c>
      <c r="D29" s="60">
        <f t="shared" si="1"/>
        <v>1.2877229195306643E-2</v>
      </c>
      <c r="E29" s="60">
        <f t="shared" si="2"/>
        <v>0</v>
      </c>
      <c r="F29" s="60">
        <f t="shared" si="3"/>
        <v>0</v>
      </c>
      <c r="G29" s="60"/>
      <c r="H29" s="143"/>
      <c r="I29" s="43"/>
      <c r="J29" s="43"/>
      <c r="K29" s="43"/>
      <c r="L29" s="43"/>
      <c r="M29" s="43"/>
      <c r="O29" s="43"/>
      <c r="P29" s="55"/>
      <c r="Q29" s="91"/>
      <c r="R29" s="34"/>
      <c r="S29" s="66"/>
      <c r="T29" s="122"/>
      <c r="U29" s="122"/>
      <c r="V29" s="122"/>
      <c r="W29" s="122"/>
      <c r="X29" s="91"/>
      <c r="AG29" s="159"/>
      <c r="AH29" s="114"/>
      <c r="AI29" s="114"/>
    </row>
    <row r="30" spans="1:35" ht="12.4" customHeight="1" x14ac:dyDescent="0.2">
      <c r="A30" s="43">
        <v>4.4196047782897949</v>
      </c>
      <c r="B30" s="139">
        <v>2.2633717147074923E-2</v>
      </c>
      <c r="C30" s="60">
        <f t="shared" si="0"/>
        <v>0</v>
      </c>
      <c r="D30" s="60">
        <f t="shared" si="1"/>
        <v>1.3212185939396588E-2</v>
      </c>
      <c r="E30" s="60">
        <f t="shared" si="2"/>
        <v>0</v>
      </c>
      <c r="F30" s="60">
        <f t="shared" si="3"/>
        <v>0</v>
      </c>
      <c r="G30" s="60"/>
      <c r="H30" s="82">
        <f>C136</f>
        <v>1.6795</v>
      </c>
      <c r="I30" s="82">
        <v>10.718022737628502</v>
      </c>
      <c r="J30" s="82">
        <f>I30-H30</f>
        <v>9.0385227376285009</v>
      </c>
      <c r="K30" s="63">
        <f>H30/I30</f>
        <v>0.15669867858216641</v>
      </c>
      <c r="L30" s="82">
        <f>M30/J30</f>
        <v>2.674994653644446</v>
      </c>
      <c r="M30" s="82">
        <f>M23</f>
        <v>24.178000000000001</v>
      </c>
      <c r="N30" s="127"/>
      <c r="O30" s="60"/>
      <c r="P30" s="55"/>
      <c r="Q30" s="11"/>
      <c r="R30" s="34"/>
      <c r="S30" s="61"/>
      <c r="T30" s="61"/>
      <c r="U30" s="61"/>
      <c r="V30" s="61"/>
      <c r="W30" s="54"/>
      <c r="X30" s="141"/>
    </row>
    <row r="31" spans="1:35" ht="12.4" customHeight="1" x14ac:dyDescent="0.2">
      <c r="A31" s="43">
        <v>4.8204536437988281</v>
      </c>
      <c r="B31" s="139">
        <v>2.32075310294792E-2</v>
      </c>
      <c r="C31" s="60">
        <f t="shared" si="0"/>
        <v>0</v>
      </c>
      <c r="D31" s="60">
        <f t="shared" si="1"/>
        <v>1.3547143545328858E-2</v>
      </c>
      <c r="E31" s="60">
        <f t="shared" si="2"/>
        <v>0</v>
      </c>
      <c r="F31" s="60">
        <f t="shared" si="3"/>
        <v>0</v>
      </c>
      <c r="G31" s="60"/>
      <c r="H31" s="143"/>
      <c r="I31" s="43"/>
      <c r="J31" s="43"/>
      <c r="K31" s="43"/>
      <c r="L31" s="43"/>
      <c r="M31" s="5"/>
      <c r="O31" s="107"/>
      <c r="P31" s="55"/>
      <c r="Q31" s="61"/>
      <c r="R31" s="11"/>
      <c r="S31" s="11"/>
      <c r="T31" s="11"/>
      <c r="U31" s="11"/>
      <c r="V31" s="11"/>
    </row>
    <row r="32" spans="1:35" ht="12.4" customHeight="1" x14ac:dyDescent="0.2">
      <c r="A32" s="43">
        <v>5.2622184753417969</v>
      </c>
      <c r="B32" s="139">
        <v>2.3845099549233462E-2</v>
      </c>
      <c r="C32" s="60">
        <f t="shared" si="0"/>
        <v>0</v>
      </c>
      <c r="D32" s="60">
        <f t="shared" si="1"/>
        <v>1.3919317226627504E-2</v>
      </c>
      <c r="E32" s="60">
        <f t="shared" si="2"/>
        <v>0</v>
      </c>
      <c r="F32" s="60">
        <f t="shared" si="3"/>
        <v>0</v>
      </c>
      <c r="G32" s="60"/>
      <c r="I32" s="161" t="s">
        <v>37</v>
      </c>
      <c r="J32" s="162"/>
      <c r="K32" s="161" t="s">
        <v>65</v>
      </c>
      <c r="L32" s="162"/>
      <c r="M32" s="66"/>
      <c r="N32" s="5"/>
      <c r="O32" s="107"/>
      <c r="P32" s="55"/>
      <c r="Q32" s="61"/>
      <c r="R32" s="11"/>
      <c r="S32" s="11"/>
      <c r="T32" s="11"/>
      <c r="U32" s="11"/>
      <c r="V32" s="11"/>
    </row>
    <row r="33" spans="1:22" ht="12.4" customHeight="1" x14ac:dyDescent="0.2">
      <c r="A33" s="43">
        <v>5.763972282409668</v>
      </c>
      <c r="B33" s="139">
        <v>2.4355154365036873E-2</v>
      </c>
      <c r="C33" s="60">
        <f t="shared" si="0"/>
        <v>0</v>
      </c>
      <c r="D33" s="60">
        <f t="shared" si="1"/>
        <v>1.4217056171666419E-2</v>
      </c>
      <c r="E33" s="60">
        <f t="shared" si="2"/>
        <v>0</v>
      </c>
      <c r="F33" s="60">
        <f t="shared" si="3"/>
        <v>0</v>
      </c>
      <c r="G33" s="60"/>
      <c r="I33" s="163" t="s">
        <v>36</v>
      </c>
      <c r="J33" s="164"/>
      <c r="K33" s="163" t="s">
        <v>49</v>
      </c>
      <c r="L33" s="164"/>
      <c r="M33" s="11"/>
      <c r="N33" s="5"/>
      <c r="O33" s="107"/>
      <c r="P33" s="55"/>
      <c r="Q33" s="61"/>
      <c r="R33" s="11"/>
      <c r="S33" s="11"/>
      <c r="T33" s="11"/>
      <c r="U33" s="11"/>
      <c r="V33" s="11"/>
    </row>
    <row r="34" spans="1:22" ht="12.4" customHeight="1" x14ac:dyDescent="0.2">
      <c r="A34" s="43">
        <v>6.3053379058837891</v>
      </c>
      <c r="B34" s="139">
        <v>2.4992724361208096E-2</v>
      </c>
      <c r="C34" s="60">
        <f t="shared" si="0"/>
        <v>0</v>
      </c>
      <c r="D34" s="60">
        <f t="shared" si="1"/>
        <v>1.458923071480739E-2</v>
      </c>
      <c r="E34" s="60">
        <f t="shared" si="2"/>
        <v>0</v>
      </c>
      <c r="F34" s="60">
        <f t="shared" si="3"/>
        <v>0</v>
      </c>
      <c r="G34" s="60"/>
      <c r="I34" s="165">
        <v>3.3594052028503726E-2</v>
      </c>
      <c r="J34" s="166"/>
      <c r="K34" s="165">
        <f>LOOKUP(I34,B$18:B$136,A$18:A$136)</f>
        <v>40.809551239013672</v>
      </c>
      <c r="L34" s="166"/>
      <c r="M34" s="140"/>
      <c r="N34" s="5"/>
      <c r="O34" s="107"/>
      <c r="P34" s="55"/>
      <c r="Q34" s="61"/>
      <c r="R34" s="11"/>
      <c r="S34" s="11"/>
      <c r="T34" s="11"/>
      <c r="U34" s="11"/>
      <c r="V34" s="11"/>
    </row>
    <row r="35" spans="1:22" ht="12.4" customHeight="1" x14ac:dyDescent="0.2">
      <c r="A35" s="43">
        <v>6.8938956260681152</v>
      </c>
      <c r="B35" s="139">
        <v>2.5439024539661528E-2</v>
      </c>
      <c r="C35" s="60">
        <f t="shared" si="0"/>
        <v>0</v>
      </c>
      <c r="D35" s="60">
        <f t="shared" si="1"/>
        <v>1.4849753584479935E-2</v>
      </c>
      <c r="E35" s="60">
        <f t="shared" si="2"/>
        <v>0</v>
      </c>
      <c r="F35" s="60">
        <f t="shared" si="3"/>
        <v>0</v>
      </c>
      <c r="G35" s="60"/>
      <c r="H35" s="143"/>
      <c r="I35" s="43"/>
      <c r="J35" s="43"/>
      <c r="K35" s="122"/>
      <c r="L35" s="122"/>
      <c r="M35" s="122"/>
      <c r="N35" s="5"/>
      <c r="O35" s="107"/>
      <c r="P35" s="55"/>
      <c r="Q35" s="61"/>
      <c r="R35" s="11"/>
      <c r="S35" s="11"/>
      <c r="T35" s="11"/>
      <c r="U35" s="11"/>
      <c r="V35" s="11"/>
    </row>
    <row r="36" spans="1:22" ht="12.4" customHeight="1" x14ac:dyDescent="0.2">
      <c r="A36" s="43">
        <v>7.542360782623291</v>
      </c>
      <c r="B36" s="139">
        <v>2.5821564175097123E-2</v>
      </c>
      <c r="C36" s="60">
        <f t="shared" si="0"/>
        <v>0</v>
      </c>
      <c r="D36" s="60">
        <f t="shared" si="1"/>
        <v>1.5073056931416796E-2</v>
      </c>
      <c r="E36" s="60">
        <f t="shared" si="2"/>
        <v>0</v>
      </c>
      <c r="F36" s="60">
        <f t="shared" si="3"/>
        <v>0</v>
      </c>
      <c r="G36" s="60"/>
      <c r="H36" s="143"/>
      <c r="I36" s="43"/>
      <c r="J36" s="43"/>
      <c r="K36" s="43"/>
      <c r="L36" s="43"/>
      <c r="M36" s="43"/>
      <c r="N36" s="5"/>
      <c r="O36" s="107"/>
      <c r="P36" s="55"/>
      <c r="Q36" s="61"/>
      <c r="R36" s="11"/>
      <c r="S36" s="11"/>
      <c r="T36" s="11"/>
      <c r="U36" s="11"/>
      <c r="V36" s="11"/>
    </row>
    <row r="37" spans="1:22" ht="12.4" customHeight="1" x14ac:dyDescent="0.2">
      <c r="A37" s="43">
        <v>8.2497549057006836</v>
      </c>
      <c r="B37" s="139">
        <v>2.6395376581084436E-2</v>
      </c>
      <c r="C37" s="60">
        <f t="shared" si="0"/>
        <v>0</v>
      </c>
      <c r="D37" s="60">
        <f t="shared" si="1"/>
        <v>1.5408013675506739E-2</v>
      </c>
      <c r="E37" s="60">
        <f t="shared" si="2"/>
        <v>0</v>
      </c>
      <c r="F37" s="60">
        <f t="shared" si="3"/>
        <v>0</v>
      </c>
      <c r="G37" s="60"/>
      <c r="H37" s="143"/>
      <c r="I37" s="43"/>
      <c r="J37" s="43"/>
      <c r="K37" s="43"/>
      <c r="L37" s="43"/>
      <c r="M37" s="43"/>
      <c r="N37" s="5"/>
      <c r="O37" s="107"/>
      <c r="P37" s="55"/>
      <c r="Q37" s="61"/>
      <c r="R37" s="11"/>
      <c r="S37" s="11"/>
      <c r="T37" s="11"/>
      <c r="U37" s="11"/>
      <c r="V37" s="11"/>
    </row>
    <row r="38" spans="1:22" ht="12.4" customHeight="1" x14ac:dyDescent="0.2">
      <c r="A38" s="43">
        <v>9.0262670516967773</v>
      </c>
      <c r="B38" s="139">
        <v>2.6969188987071752E-2</v>
      </c>
      <c r="C38" s="60">
        <f t="shared" si="0"/>
        <v>0</v>
      </c>
      <c r="D38" s="60">
        <f t="shared" si="1"/>
        <v>1.5742970419596682E-2</v>
      </c>
      <c r="E38" s="60">
        <f t="shared" si="2"/>
        <v>0</v>
      </c>
      <c r="F38" s="60">
        <f t="shared" si="3"/>
        <v>0</v>
      </c>
      <c r="G38" s="60"/>
      <c r="N38" s="5"/>
      <c r="O38" s="107"/>
      <c r="P38" s="55"/>
      <c r="Q38" s="61"/>
      <c r="R38" s="11"/>
      <c r="S38" s="11"/>
      <c r="T38" s="11"/>
      <c r="U38" s="11"/>
      <c r="V38" s="11"/>
    </row>
    <row r="39" spans="1:22" ht="12.4" customHeight="1" x14ac:dyDescent="0.2">
      <c r="A39" s="43">
        <v>9.8776836395263672</v>
      </c>
      <c r="B39" s="139">
        <v>2.7224216394973456E-2</v>
      </c>
      <c r="C39" s="60">
        <f t="shared" si="0"/>
        <v>0</v>
      </c>
      <c r="D39" s="60">
        <f t="shared" si="1"/>
        <v>1.5891839892116139E-2</v>
      </c>
      <c r="E39" s="60">
        <f t="shared" si="2"/>
        <v>0</v>
      </c>
      <c r="F39" s="60">
        <f t="shared" si="3"/>
        <v>0</v>
      </c>
      <c r="G39" s="60"/>
      <c r="N39" s="5"/>
      <c r="O39" s="107"/>
      <c r="P39" s="55"/>
      <c r="Q39" s="61"/>
      <c r="R39" s="11"/>
      <c r="S39" s="11"/>
      <c r="T39" s="11"/>
      <c r="U39" s="11"/>
      <c r="V39" s="11"/>
    </row>
    <row r="40" spans="1:22" ht="12.4" customHeight="1" x14ac:dyDescent="0.2">
      <c r="A40" s="43">
        <v>10.782322883605957</v>
      </c>
      <c r="B40" s="139">
        <v>2.7670516573426888E-2</v>
      </c>
      <c r="C40" s="60">
        <f t="shared" si="0"/>
        <v>0</v>
      </c>
      <c r="D40" s="60">
        <f t="shared" si="1"/>
        <v>1.6152362761788684E-2</v>
      </c>
      <c r="E40" s="60">
        <f t="shared" si="2"/>
        <v>0</v>
      </c>
      <c r="F40" s="60">
        <f t="shared" si="3"/>
        <v>0</v>
      </c>
      <c r="G40" s="60"/>
      <c r="N40" s="5"/>
      <c r="O40" s="107"/>
      <c r="P40" s="55"/>
      <c r="Q40" s="61"/>
      <c r="R40" s="11"/>
      <c r="S40" s="11"/>
      <c r="T40" s="11"/>
      <c r="U40" s="11"/>
      <c r="V40" s="11"/>
    </row>
    <row r="41" spans="1:22" ht="12.4" customHeight="1" x14ac:dyDescent="0.2">
      <c r="A41" s="43">
        <v>11.883312225341797</v>
      </c>
      <c r="B41" s="139">
        <v>2.7925543981328592E-2</v>
      </c>
      <c r="C41" s="60">
        <f t="shared" si="0"/>
        <v>0</v>
      </c>
      <c r="D41" s="60">
        <f t="shared" si="1"/>
        <v>1.6301232234308141E-2</v>
      </c>
      <c r="E41" s="60">
        <f t="shared" si="2"/>
        <v>0</v>
      </c>
      <c r="F41" s="60">
        <f t="shared" si="3"/>
        <v>0</v>
      </c>
      <c r="G41" s="60"/>
      <c r="N41" s="5"/>
      <c r="O41" s="107"/>
      <c r="P41" s="55"/>
      <c r="Q41" s="61"/>
      <c r="R41" s="11"/>
      <c r="S41" s="11"/>
      <c r="T41" s="11"/>
      <c r="U41" s="11"/>
      <c r="V41" s="11"/>
    </row>
    <row r="42" spans="1:22" ht="12.4" customHeight="1" x14ac:dyDescent="0.2">
      <c r="A42" s="43">
        <v>12.884048461914062</v>
      </c>
      <c r="B42" s="139">
        <v>2.8116813799046386E-2</v>
      </c>
      <c r="C42" s="60">
        <f t="shared" si="0"/>
        <v>0</v>
      </c>
      <c r="D42" s="60">
        <f t="shared" si="1"/>
        <v>1.6412883907776569E-2</v>
      </c>
      <c r="E42" s="60">
        <f t="shared" si="2"/>
        <v>0</v>
      </c>
      <c r="F42" s="60">
        <f t="shared" si="3"/>
        <v>0</v>
      </c>
      <c r="G42" s="60"/>
      <c r="H42" s="143"/>
      <c r="I42" s="43"/>
      <c r="J42" s="43"/>
      <c r="K42" s="43"/>
      <c r="L42" s="43"/>
      <c r="M42" s="43"/>
      <c r="N42" s="5"/>
      <c r="O42" s="107"/>
      <c r="P42" s="55"/>
      <c r="Q42" s="61"/>
      <c r="R42" s="11"/>
      <c r="S42" s="11"/>
      <c r="T42" s="11"/>
      <c r="U42" s="11"/>
      <c r="V42" s="11"/>
    </row>
    <row r="43" spans="1:22" ht="12.4" customHeight="1" x14ac:dyDescent="0.2">
      <c r="A43" s="43">
        <v>14.184564590454102</v>
      </c>
      <c r="B43" s="139">
        <v>2.8563113977499818E-2</v>
      </c>
      <c r="C43" s="60">
        <f t="shared" si="0"/>
        <v>0</v>
      </c>
      <c r="D43" s="60">
        <f t="shared" si="1"/>
        <v>1.6673406777449114E-2</v>
      </c>
      <c r="E43" s="60">
        <f t="shared" si="2"/>
        <v>0</v>
      </c>
      <c r="F43" s="60">
        <f t="shared" si="3"/>
        <v>0</v>
      </c>
      <c r="G43" s="60"/>
      <c r="H43" s="143"/>
      <c r="I43" s="43"/>
      <c r="J43" s="43"/>
      <c r="K43" s="43"/>
      <c r="L43" s="43"/>
      <c r="M43" s="136"/>
      <c r="N43" s="5"/>
      <c r="O43" s="107"/>
      <c r="P43" s="55"/>
      <c r="Q43" s="61"/>
      <c r="R43" s="11"/>
      <c r="S43" s="11"/>
      <c r="T43" s="11"/>
      <c r="U43" s="11"/>
      <c r="V43" s="11"/>
    </row>
    <row r="44" spans="1:22" ht="12.4" customHeight="1" x14ac:dyDescent="0.2">
      <c r="A44" s="43">
        <v>15.478479385375977</v>
      </c>
      <c r="B44" s="139">
        <v>2.8754383795217612E-2</v>
      </c>
      <c r="C44" s="60">
        <f t="shared" si="0"/>
        <v>0</v>
      </c>
      <c r="D44" s="60">
        <f t="shared" si="1"/>
        <v>1.6785058450917541E-2</v>
      </c>
      <c r="E44" s="60">
        <f t="shared" si="2"/>
        <v>0</v>
      </c>
      <c r="F44" s="60">
        <f t="shared" si="3"/>
        <v>0</v>
      </c>
      <c r="G44" s="60"/>
      <c r="H44" s="143"/>
      <c r="I44" s="43"/>
      <c r="J44" s="43"/>
      <c r="K44" s="43"/>
      <c r="L44" s="43"/>
      <c r="M44" s="136"/>
      <c r="N44" s="5"/>
      <c r="O44" s="107"/>
      <c r="P44" s="55"/>
      <c r="Q44" s="61"/>
      <c r="R44" s="11"/>
      <c r="S44" s="11"/>
      <c r="T44" s="11"/>
      <c r="U44" s="11"/>
      <c r="V44" s="11"/>
    </row>
    <row r="45" spans="1:22" ht="12.4" customHeight="1" x14ac:dyDescent="0.2">
      <c r="A45" s="43">
        <v>16.87272834777832</v>
      </c>
      <c r="B45" s="139">
        <v>2.9264441563854948E-2</v>
      </c>
      <c r="C45" s="60">
        <f t="shared" si="0"/>
        <v>0</v>
      </c>
      <c r="D45" s="60">
        <f t="shared" si="1"/>
        <v>1.7082799119641112E-2</v>
      </c>
      <c r="E45" s="60">
        <f t="shared" si="2"/>
        <v>0</v>
      </c>
      <c r="F45" s="60">
        <f t="shared" si="3"/>
        <v>0</v>
      </c>
      <c r="G45" s="60"/>
      <c r="H45" s="143"/>
      <c r="I45" s="43"/>
      <c r="J45" s="43"/>
      <c r="K45" s="43"/>
      <c r="L45" s="43"/>
      <c r="M45" s="136"/>
      <c r="N45" s="5"/>
      <c r="O45" s="107"/>
      <c r="P45" s="55"/>
      <c r="Q45" s="61"/>
      <c r="R45" s="11"/>
      <c r="S45" s="11"/>
      <c r="T45" s="11"/>
      <c r="U45" s="11"/>
      <c r="V45" s="11"/>
    </row>
    <row r="46" spans="1:22" ht="12.4" customHeight="1" x14ac:dyDescent="0.2">
      <c r="A46" s="43">
        <v>18.472209930419922</v>
      </c>
      <c r="B46" s="139">
        <v>2.9646981199290542E-2</v>
      </c>
      <c r="C46" s="60">
        <f t="shared" si="0"/>
        <v>0</v>
      </c>
      <c r="D46" s="60">
        <f t="shared" si="1"/>
        <v>1.7306102466577974E-2</v>
      </c>
      <c r="E46" s="60">
        <f t="shared" si="2"/>
        <v>0</v>
      </c>
      <c r="F46" s="60">
        <f t="shared" si="3"/>
        <v>0</v>
      </c>
      <c r="G46" s="60"/>
      <c r="H46" s="143"/>
      <c r="I46" s="43"/>
      <c r="J46" s="43"/>
      <c r="K46" s="43"/>
      <c r="L46" s="43"/>
      <c r="M46" s="136"/>
      <c r="N46" s="5"/>
      <c r="O46" s="107"/>
      <c r="P46" s="55"/>
      <c r="Q46" s="61"/>
      <c r="R46" s="11"/>
      <c r="S46" s="11"/>
      <c r="T46" s="11"/>
      <c r="U46" s="11"/>
      <c r="V46" s="11"/>
    </row>
    <row r="47" spans="1:22" ht="12.4" customHeight="1" x14ac:dyDescent="0.2">
      <c r="A47" s="43">
        <v>20.266654968261719</v>
      </c>
      <c r="B47" s="139">
        <v>3.0220793605277858E-2</v>
      </c>
      <c r="C47" s="60">
        <f t="shared" si="0"/>
        <v>0</v>
      </c>
      <c r="D47" s="60">
        <f t="shared" si="1"/>
        <v>1.7641059210667918E-2</v>
      </c>
      <c r="E47" s="60">
        <f t="shared" si="2"/>
        <v>0</v>
      </c>
      <c r="F47" s="60">
        <f t="shared" si="3"/>
        <v>0</v>
      </c>
      <c r="G47" s="60"/>
      <c r="H47" s="143"/>
      <c r="I47" s="43"/>
      <c r="J47" s="43"/>
      <c r="K47" s="43"/>
      <c r="L47" s="43"/>
      <c r="M47" s="136"/>
      <c r="N47" s="5"/>
      <c r="O47" s="107"/>
      <c r="P47" s="55"/>
      <c r="Q47" s="61"/>
      <c r="R47" s="11"/>
      <c r="S47" s="11"/>
      <c r="T47" s="11"/>
      <c r="U47" s="11"/>
      <c r="V47" s="11"/>
    </row>
    <row r="48" spans="1:22" ht="12.4" customHeight="1" x14ac:dyDescent="0.2">
      <c r="A48" s="43">
        <v>22.155405044555664</v>
      </c>
      <c r="B48" s="139">
        <v>3.0858363601449081E-2</v>
      </c>
      <c r="C48" s="60">
        <f t="shared" si="0"/>
        <v>0</v>
      </c>
      <c r="D48" s="60">
        <f t="shared" si="1"/>
        <v>1.8013233753808887E-2</v>
      </c>
      <c r="E48" s="60">
        <f t="shared" si="2"/>
        <v>0</v>
      </c>
      <c r="F48" s="60">
        <f t="shared" si="3"/>
        <v>0</v>
      </c>
      <c r="G48" s="60"/>
      <c r="H48" s="143"/>
      <c r="I48" s="43"/>
      <c r="J48" s="43"/>
      <c r="K48" s="43"/>
      <c r="L48" s="43"/>
      <c r="M48" s="136"/>
      <c r="N48" s="5"/>
      <c r="O48" s="107"/>
      <c r="P48" s="55"/>
      <c r="Q48" s="61"/>
      <c r="R48" s="11"/>
      <c r="S48" s="11"/>
      <c r="T48" s="11"/>
      <c r="U48" s="11"/>
      <c r="V48" s="11"/>
    </row>
    <row r="49" spans="1:22" ht="12.4" customHeight="1" x14ac:dyDescent="0.2">
      <c r="A49" s="43">
        <v>24.306196212768555</v>
      </c>
      <c r="B49" s="139">
        <v>3.1368418417252492E-2</v>
      </c>
      <c r="C49" s="60">
        <f t="shared" si="0"/>
        <v>0</v>
      </c>
      <c r="D49" s="60">
        <f t="shared" si="1"/>
        <v>1.8310972698847804E-2</v>
      </c>
      <c r="E49" s="60">
        <f t="shared" si="2"/>
        <v>0</v>
      </c>
      <c r="F49" s="60">
        <f t="shared" si="3"/>
        <v>0</v>
      </c>
      <c r="G49" s="60"/>
      <c r="H49" s="143"/>
      <c r="I49" s="43"/>
      <c r="J49" s="43"/>
      <c r="K49" s="43"/>
      <c r="L49" s="136"/>
      <c r="M49" s="136"/>
      <c r="N49" s="5"/>
      <c r="O49" s="107"/>
      <c r="P49" s="55"/>
      <c r="Q49" s="61"/>
      <c r="R49" s="11"/>
      <c r="S49" s="11"/>
      <c r="T49" s="11"/>
      <c r="U49" s="11"/>
      <c r="V49" s="11"/>
    </row>
    <row r="50" spans="1:22" ht="12.4" customHeight="1" x14ac:dyDescent="0.2">
      <c r="A50" s="43">
        <v>26.600929260253906</v>
      </c>
      <c r="B50" s="139">
        <v>3.2133503593791531E-2</v>
      </c>
      <c r="C50" s="60">
        <f t="shared" si="0"/>
        <v>0</v>
      </c>
      <c r="D50" s="60">
        <f t="shared" si="1"/>
        <v>1.8757582840090832E-2</v>
      </c>
      <c r="E50" s="60">
        <f t="shared" si="2"/>
        <v>0</v>
      </c>
      <c r="F50" s="60">
        <f t="shared" si="3"/>
        <v>0</v>
      </c>
      <c r="G50" s="60"/>
      <c r="H50" s="143"/>
      <c r="I50" s="43"/>
      <c r="J50" s="43"/>
      <c r="K50" s="43"/>
      <c r="L50" s="136"/>
      <c r="M50" s="136"/>
      <c r="N50" s="5"/>
      <c r="O50" s="107"/>
      <c r="P50" s="55"/>
      <c r="Q50" s="61"/>
      <c r="R50" s="11"/>
      <c r="S50" s="11"/>
      <c r="T50" s="11"/>
      <c r="U50" s="11"/>
      <c r="V50" s="11"/>
    </row>
    <row r="51" spans="1:22" ht="12.4" customHeight="1" x14ac:dyDescent="0.2">
      <c r="A51" s="43">
        <v>28.999906539916992</v>
      </c>
      <c r="B51" s="139">
        <v>3.2771073589962757E-2</v>
      </c>
      <c r="C51" s="60">
        <f t="shared" si="0"/>
        <v>0</v>
      </c>
      <c r="D51" s="60">
        <f t="shared" si="1"/>
        <v>1.9129757383231805E-2</v>
      </c>
      <c r="E51" s="60">
        <f t="shared" si="2"/>
        <v>0</v>
      </c>
      <c r="F51" s="60">
        <f t="shared" si="3"/>
        <v>0</v>
      </c>
      <c r="G51" s="60"/>
      <c r="H51" s="143"/>
      <c r="I51" s="43"/>
      <c r="J51" s="43"/>
      <c r="K51" s="43"/>
      <c r="L51" s="136"/>
      <c r="M51" s="136"/>
      <c r="N51" s="5"/>
      <c r="O51" s="107"/>
      <c r="P51" s="55"/>
      <c r="Q51" s="61"/>
      <c r="R51" s="11"/>
      <c r="S51" s="11"/>
      <c r="T51" s="11"/>
      <c r="U51" s="11"/>
      <c r="V51" s="11"/>
    </row>
    <row r="52" spans="1:22" ht="12.4" customHeight="1" x14ac:dyDescent="0.2">
      <c r="A52" s="43">
        <v>32.723876953125</v>
      </c>
      <c r="B52" s="139">
        <v>3.2771073589962757E-2</v>
      </c>
      <c r="C52" s="60">
        <f t="shared" si="0"/>
        <v>0</v>
      </c>
      <c r="D52" s="60">
        <f t="shared" si="1"/>
        <v>1.9129757383231805E-2</v>
      </c>
      <c r="E52" s="60">
        <f t="shared" si="2"/>
        <v>0</v>
      </c>
      <c r="F52" s="60">
        <f t="shared" si="3"/>
        <v>0</v>
      </c>
      <c r="G52" s="60"/>
      <c r="H52" s="143"/>
      <c r="I52" s="43"/>
      <c r="J52" s="43"/>
      <c r="K52" s="43"/>
      <c r="L52" s="136"/>
      <c r="M52" s="136"/>
      <c r="N52" s="5"/>
      <c r="O52" s="107"/>
      <c r="P52" s="55"/>
      <c r="Q52" s="61"/>
      <c r="R52" s="11"/>
      <c r="S52" s="11"/>
      <c r="T52" s="11"/>
      <c r="U52" s="11"/>
      <c r="V52" s="11"/>
    </row>
    <row r="53" spans="1:22" ht="12.4" customHeight="1" x14ac:dyDescent="0.2">
      <c r="A53" s="43">
        <v>34.605560302734375</v>
      </c>
      <c r="B53" s="139">
        <v>3.2771073589962757E-2</v>
      </c>
      <c r="C53" s="60">
        <f t="shared" si="0"/>
        <v>0</v>
      </c>
      <c r="D53" s="60">
        <f t="shared" si="1"/>
        <v>1.9129757383231805E-2</v>
      </c>
      <c r="E53" s="60">
        <f t="shared" si="2"/>
        <v>0</v>
      </c>
      <c r="F53" s="60">
        <f t="shared" si="3"/>
        <v>0</v>
      </c>
      <c r="G53" s="60"/>
      <c r="H53" s="143"/>
      <c r="I53" s="43"/>
      <c r="J53" s="43"/>
      <c r="K53" s="43"/>
      <c r="L53" s="136"/>
      <c r="M53" s="136"/>
      <c r="N53" s="5"/>
      <c r="O53" s="107"/>
      <c r="P53" s="55"/>
      <c r="Q53" s="61"/>
      <c r="R53" s="11"/>
      <c r="S53" s="11"/>
      <c r="T53" s="11"/>
      <c r="U53" s="11"/>
      <c r="V53" s="11"/>
    </row>
    <row r="54" spans="1:22" ht="12.4" customHeight="1" x14ac:dyDescent="0.2">
      <c r="A54" s="43">
        <v>36.36199951171875</v>
      </c>
      <c r="B54" s="139">
        <v>3.2771073589962757E-2</v>
      </c>
      <c r="C54" s="60">
        <f t="shared" si="0"/>
        <v>0</v>
      </c>
      <c r="D54" s="60">
        <f t="shared" si="1"/>
        <v>1.9129757383231805E-2</v>
      </c>
      <c r="E54" s="60">
        <f t="shared" si="2"/>
        <v>0</v>
      </c>
      <c r="F54" s="60">
        <f t="shared" si="3"/>
        <v>0</v>
      </c>
      <c r="G54" s="60"/>
      <c r="H54" s="143"/>
      <c r="I54" s="43"/>
      <c r="J54" s="43"/>
      <c r="K54" s="43"/>
      <c r="L54" s="136"/>
      <c r="M54" s="136"/>
      <c r="N54" s="5"/>
      <c r="O54" s="107"/>
      <c r="P54" s="55"/>
      <c r="Q54" s="61"/>
      <c r="R54" s="11"/>
      <c r="S54" s="11"/>
      <c r="T54" s="11"/>
      <c r="U54" s="11"/>
      <c r="V54" s="11"/>
    </row>
    <row r="55" spans="1:22" ht="12.4" customHeight="1" x14ac:dyDescent="0.2">
      <c r="A55" s="43">
        <v>40.809551239013672</v>
      </c>
      <c r="B55" s="139">
        <v>3.3594052028503726E-2</v>
      </c>
      <c r="C55" s="60">
        <f t="shared" si="0"/>
        <v>0</v>
      </c>
      <c r="D55" s="60">
        <f t="shared" si="1"/>
        <v>1.9610162085802844E-2</v>
      </c>
      <c r="E55" s="60">
        <f t="shared" si="2"/>
        <v>0</v>
      </c>
      <c r="F55" s="60">
        <f t="shared" si="3"/>
        <v>0</v>
      </c>
      <c r="G55" s="60"/>
      <c r="H55" s="143"/>
      <c r="I55" s="43"/>
      <c r="J55" s="43"/>
      <c r="K55" s="43"/>
      <c r="L55" s="136"/>
      <c r="M55" s="136"/>
      <c r="N55" s="5"/>
      <c r="O55" s="107"/>
      <c r="P55" s="55"/>
      <c r="Q55" s="61"/>
      <c r="R55" s="11"/>
      <c r="S55" s="11"/>
      <c r="T55" s="11"/>
      <c r="U55" s="11"/>
      <c r="V55" s="11"/>
    </row>
    <row r="56" spans="1:22" ht="12.4" customHeight="1" x14ac:dyDescent="0.2">
      <c r="A56" s="43">
        <v>47.698688507080078</v>
      </c>
      <c r="B56" s="139">
        <v>3.3694052028503729E-2</v>
      </c>
      <c r="C56" s="60">
        <f t="shared" si="0"/>
        <v>1.0000000000000286E-4</v>
      </c>
      <c r="D56" s="60">
        <f t="shared" si="1"/>
        <v>1.9668535996961774E-2</v>
      </c>
      <c r="E56" s="60">
        <f t="shared" si="2"/>
        <v>5.9541530217328293E-5</v>
      </c>
      <c r="F56" s="60">
        <f t="shared" si="3"/>
        <v>5.9541530217328293E-5</v>
      </c>
      <c r="G56" s="60"/>
      <c r="H56" s="143"/>
      <c r="I56" s="43"/>
      <c r="J56" s="43"/>
      <c r="K56" s="43"/>
      <c r="L56" s="136"/>
      <c r="M56" s="136"/>
      <c r="N56" s="5"/>
      <c r="O56" s="107"/>
      <c r="P56" s="55"/>
      <c r="Q56" s="61"/>
      <c r="R56" s="11"/>
      <c r="S56" s="11"/>
      <c r="T56" s="11"/>
      <c r="U56" s="11"/>
      <c r="V56" s="11"/>
    </row>
    <row r="57" spans="1:22" ht="12.4" customHeight="1" x14ac:dyDescent="0.2">
      <c r="A57" s="43">
        <v>52.025604248046875</v>
      </c>
      <c r="B57" s="139">
        <v>3.3794052028503725E-2</v>
      </c>
      <c r="C57" s="60">
        <f t="shared" si="0"/>
        <v>1.9999999999999879E-4</v>
      </c>
      <c r="D57" s="60">
        <f t="shared" si="1"/>
        <v>1.9726909908120701E-2</v>
      </c>
      <c r="E57" s="60">
        <f t="shared" si="2"/>
        <v>1.1908306043465245E-4</v>
      </c>
      <c r="F57" s="60">
        <f t="shared" si="3"/>
        <v>5.9541530217324159E-5</v>
      </c>
      <c r="G57" s="60"/>
      <c r="H57" s="143"/>
      <c r="I57" s="136"/>
      <c r="J57" s="43"/>
      <c r="K57" s="43"/>
      <c r="L57" s="136"/>
      <c r="M57" s="136"/>
      <c r="N57" s="5"/>
      <c r="O57" s="107"/>
      <c r="P57" s="55"/>
      <c r="Q57" s="61"/>
      <c r="R57" s="11"/>
      <c r="S57" s="11"/>
      <c r="T57" s="11"/>
      <c r="U57" s="11"/>
      <c r="V57" s="11"/>
    </row>
    <row r="58" spans="1:22" ht="12.4" customHeight="1" x14ac:dyDescent="0.2">
      <c r="A58" s="43">
        <v>55.131130218505859</v>
      </c>
      <c r="B58" s="139">
        <v>3.3994052028503724E-2</v>
      </c>
      <c r="C58" s="60">
        <f t="shared" si="0"/>
        <v>3.9999999999999758E-4</v>
      </c>
      <c r="D58" s="60">
        <f t="shared" si="1"/>
        <v>1.9843657730438554E-2</v>
      </c>
      <c r="E58" s="60">
        <f t="shared" si="2"/>
        <v>2.381661208693049E-4</v>
      </c>
      <c r="F58" s="60">
        <f t="shared" si="3"/>
        <v>1.1908306043465245E-4</v>
      </c>
      <c r="G58" s="60"/>
      <c r="H58" s="143"/>
      <c r="I58" s="136"/>
      <c r="J58" s="43"/>
      <c r="K58" s="43"/>
      <c r="L58" s="136"/>
      <c r="M58" s="136"/>
      <c r="N58" s="5"/>
      <c r="O58" s="107"/>
      <c r="P58" s="55"/>
      <c r="Q58" s="61"/>
      <c r="R58" s="11"/>
      <c r="S58" s="11"/>
      <c r="T58" s="11"/>
      <c r="U58" s="11"/>
      <c r="V58" s="11"/>
    </row>
    <row r="59" spans="1:22" ht="12.4" customHeight="1" x14ac:dyDescent="0.2">
      <c r="A59" s="43">
        <v>58.93280029296875</v>
      </c>
      <c r="B59" s="139">
        <v>3.4794052028503726E-2</v>
      </c>
      <c r="C59" s="60">
        <f t="shared" si="0"/>
        <v>1.1999999999999997E-3</v>
      </c>
      <c r="D59" s="60">
        <f t="shared" si="1"/>
        <v>2.031064901970998E-2</v>
      </c>
      <c r="E59" s="60">
        <f t="shared" si="2"/>
        <v>7.1449836260791889E-4</v>
      </c>
      <c r="F59" s="60">
        <f t="shared" si="3"/>
        <v>4.7633224173861398E-4</v>
      </c>
      <c r="G59" s="60"/>
      <c r="H59" s="143"/>
      <c r="I59" s="136"/>
      <c r="J59" s="43"/>
      <c r="K59" s="43"/>
      <c r="L59" s="136"/>
      <c r="M59" s="136"/>
      <c r="N59" s="5"/>
      <c r="O59" s="107"/>
      <c r="P59" s="55"/>
      <c r="Q59" s="61"/>
      <c r="R59" s="11"/>
      <c r="S59" s="11"/>
      <c r="T59" s="11"/>
      <c r="U59" s="11"/>
      <c r="V59" s="11"/>
    </row>
    <row r="60" spans="1:22" ht="12.4" customHeight="1" x14ac:dyDescent="0.2">
      <c r="A60" s="43">
        <v>65.401535034179688</v>
      </c>
      <c r="B60" s="139">
        <v>3.7994052028503728E-2</v>
      </c>
      <c r="C60" s="60">
        <f t="shared" si="0"/>
        <v>4.4000000000000011E-3</v>
      </c>
      <c r="D60" s="60">
        <f t="shared" si="1"/>
        <v>2.2178614176795682E-2</v>
      </c>
      <c r="E60" s="60">
        <f t="shared" si="2"/>
        <v>2.6198273295623704E-3</v>
      </c>
      <c r="F60" s="60">
        <f t="shared" si="3"/>
        <v>1.9053289669544514E-3</v>
      </c>
      <c r="G60" s="60"/>
      <c r="H60" s="143"/>
      <c r="I60" s="136"/>
      <c r="J60" s="43"/>
      <c r="K60" s="43"/>
      <c r="L60" s="136"/>
      <c r="M60" s="136"/>
      <c r="N60" s="5"/>
      <c r="O60" s="107"/>
      <c r="P60" s="55"/>
      <c r="Q60" s="61"/>
      <c r="R60" s="11"/>
      <c r="S60" s="11"/>
      <c r="T60" s="11"/>
      <c r="U60" s="11"/>
      <c r="V60" s="11"/>
    </row>
    <row r="61" spans="1:22" ht="12.4" customHeight="1" x14ac:dyDescent="0.2">
      <c r="A61" s="43">
        <v>72.479629516601563</v>
      </c>
      <c r="B61" s="139">
        <v>4.2294052028503726E-2</v>
      </c>
      <c r="C61" s="60">
        <f t="shared" si="0"/>
        <v>8.6999999999999994E-3</v>
      </c>
      <c r="D61" s="60">
        <f t="shared" si="1"/>
        <v>2.4688692356629589E-2</v>
      </c>
      <c r="E61" s="60">
        <f t="shared" si="2"/>
        <v>5.1801131289074126E-3</v>
      </c>
      <c r="F61" s="60">
        <f t="shared" si="3"/>
        <v>2.5602857993450422E-3</v>
      </c>
      <c r="G61" s="60"/>
      <c r="H61" s="143"/>
      <c r="I61" s="136"/>
      <c r="J61" s="43"/>
      <c r="K61" s="43"/>
      <c r="L61" s="136"/>
      <c r="M61" s="136"/>
      <c r="N61" s="5"/>
      <c r="O61" s="107"/>
      <c r="P61" s="55"/>
      <c r="Q61" s="61"/>
      <c r="R61" s="11"/>
      <c r="S61" s="11"/>
      <c r="T61" s="11"/>
      <c r="U61" s="11"/>
      <c r="V61" s="11"/>
    </row>
    <row r="62" spans="1:22" ht="12.4" customHeight="1" x14ac:dyDescent="0.2">
      <c r="A62" s="43">
        <v>78.002883911132813</v>
      </c>
      <c r="B62" s="139">
        <v>4.7094052028503725E-2</v>
      </c>
      <c r="C62" s="60">
        <f t="shared" si="0"/>
        <v>1.3499999999999998E-2</v>
      </c>
      <c r="D62" s="60">
        <f t="shared" si="1"/>
        <v>2.7490640092258135E-2</v>
      </c>
      <c r="E62" s="60">
        <f t="shared" si="2"/>
        <v>8.0381065793390886E-3</v>
      </c>
      <c r="F62" s="60">
        <f t="shared" si="3"/>
        <v>2.857993450431676E-3</v>
      </c>
      <c r="G62" s="60"/>
      <c r="H62" s="143"/>
      <c r="I62" s="136"/>
      <c r="J62" s="43"/>
      <c r="K62" s="43"/>
      <c r="L62" s="136"/>
      <c r="M62" s="136"/>
      <c r="N62" s="5"/>
      <c r="O62" s="107"/>
      <c r="P62" s="55"/>
      <c r="Q62" s="61"/>
      <c r="R62" s="11"/>
      <c r="S62" s="11"/>
      <c r="T62" s="11"/>
      <c r="U62" s="11"/>
      <c r="V62" s="11"/>
    </row>
    <row r="63" spans="1:22" ht="12.4" customHeight="1" x14ac:dyDescent="0.2">
      <c r="A63" s="43">
        <v>86.993820190429687</v>
      </c>
      <c r="B63" s="139">
        <v>6.2094052028503724E-2</v>
      </c>
      <c r="C63" s="60">
        <f t="shared" si="0"/>
        <v>2.8499999999999998E-2</v>
      </c>
      <c r="D63" s="60">
        <f t="shared" si="1"/>
        <v>3.6246726766097345E-2</v>
      </c>
      <c r="E63" s="60">
        <f t="shared" si="2"/>
        <v>1.6969336111938075E-2</v>
      </c>
      <c r="F63" s="60">
        <f t="shared" si="3"/>
        <v>8.9312295325989863E-3</v>
      </c>
      <c r="G63" s="60"/>
      <c r="H63" s="143"/>
      <c r="I63" s="136"/>
      <c r="J63" s="43"/>
      <c r="K63" s="43"/>
      <c r="L63" s="136"/>
      <c r="M63" s="136"/>
      <c r="N63" s="5"/>
      <c r="O63" s="107"/>
      <c r="P63" s="55"/>
      <c r="Q63" s="61"/>
      <c r="R63" s="11"/>
      <c r="S63" s="11"/>
      <c r="T63" s="11"/>
      <c r="U63" s="11"/>
      <c r="V63" s="11"/>
    </row>
    <row r="64" spans="1:22" x14ac:dyDescent="0.2">
      <c r="A64" s="43">
        <v>93.568252563476562</v>
      </c>
      <c r="B64" s="139">
        <v>8.0194052028503729E-2</v>
      </c>
      <c r="C64" s="60">
        <f t="shared" si="0"/>
        <v>4.6600000000000003E-2</v>
      </c>
      <c r="D64" s="60">
        <f t="shared" si="1"/>
        <v>4.6812404685863333E-2</v>
      </c>
      <c r="E64" s="60">
        <f t="shared" si="2"/>
        <v>2.774635308127419E-2</v>
      </c>
      <c r="F64" s="60">
        <f t="shared" si="3"/>
        <v>1.0777016969336115E-2</v>
      </c>
      <c r="G64" s="60"/>
      <c r="H64" s="143"/>
      <c r="I64" s="136"/>
      <c r="J64" s="43"/>
      <c r="K64" s="43"/>
      <c r="L64" s="136"/>
      <c r="M64" s="136"/>
      <c r="N64" s="5"/>
      <c r="O64" s="107"/>
      <c r="P64" s="55"/>
      <c r="Q64" s="61"/>
      <c r="R64" s="11"/>
      <c r="S64" s="11"/>
      <c r="T64" s="11"/>
      <c r="U64" s="11"/>
      <c r="V64" s="11"/>
    </row>
    <row r="65" spans="1:22" x14ac:dyDescent="0.2">
      <c r="A65" s="43">
        <v>101.06266021728516</v>
      </c>
      <c r="B65" s="139">
        <v>0.12209405202850372</v>
      </c>
      <c r="C65" s="60">
        <f t="shared" si="0"/>
        <v>8.8499999999999995E-2</v>
      </c>
      <c r="D65" s="60">
        <f t="shared" si="1"/>
        <v>7.1271073461454199E-2</v>
      </c>
      <c r="E65" s="60">
        <f t="shared" si="2"/>
        <v>5.2694254242334024E-2</v>
      </c>
      <c r="F65" s="60">
        <f t="shared" si="3"/>
        <v>2.4947901161059834E-2</v>
      </c>
      <c r="G65" s="60"/>
      <c r="H65" s="143"/>
      <c r="I65" s="136"/>
      <c r="J65" s="43"/>
      <c r="K65" s="43"/>
      <c r="L65" s="136"/>
      <c r="M65" s="136"/>
      <c r="N65" s="5"/>
      <c r="O65" s="107"/>
      <c r="P65" s="55"/>
      <c r="Q65" s="61"/>
      <c r="R65" s="11"/>
      <c r="S65" s="11"/>
      <c r="T65" s="11"/>
      <c r="U65" s="11"/>
      <c r="V65" s="11"/>
    </row>
    <row r="66" spans="1:22" x14ac:dyDescent="0.2">
      <c r="A66" s="43">
        <v>111.86637878417969</v>
      </c>
      <c r="B66" s="139">
        <v>0.20399405202850374</v>
      </c>
      <c r="C66" s="60">
        <f t="shared" si="0"/>
        <v>0.1704</v>
      </c>
      <c r="D66" s="60">
        <f t="shared" si="1"/>
        <v>0.11907930670061631</v>
      </c>
      <c r="E66" s="60">
        <f t="shared" si="2"/>
        <v>0.10145876749032449</v>
      </c>
      <c r="F66" s="60">
        <f t="shared" si="3"/>
        <v>4.8764513247990471E-2</v>
      </c>
      <c r="G66" s="60"/>
      <c r="H66" s="143"/>
      <c r="I66" s="136"/>
      <c r="J66" s="43"/>
      <c r="K66" s="43"/>
      <c r="L66" s="136"/>
      <c r="M66" s="136"/>
      <c r="N66" s="5"/>
      <c r="O66" s="107"/>
      <c r="P66" s="55"/>
      <c r="Q66" s="61"/>
      <c r="R66" s="11"/>
      <c r="S66" s="11"/>
      <c r="T66" s="11"/>
      <c r="U66" s="11"/>
      <c r="V66" s="11"/>
    </row>
    <row r="67" spans="1:22" x14ac:dyDescent="0.2">
      <c r="A67" s="43">
        <v>121.24658203125</v>
      </c>
      <c r="B67" s="139">
        <v>0.30799405202850372</v>
      </c>
      <c r="C67" s="60">
        <f t="shared" si="0"/>
        <v>0.27439999999999998</v>
      </c>
      <c r="D67" s="60">
        <f t="shared" si="1"/>
        <v>0.17978817430590152</v>
      </c>
      <c r="E67" s="60">
        <f t="shared" si="2"/>
        <v>0.16338195891634413</v>
      </c>
      <c r="F67" s="60">
        <f t="shared" si="3"/>
        <v>6.1923191426019639E-2</v>
      </c>
      <c r="G67" s="60"/>
      <c r="H67" s="143"/>
      <c r="I67" s="136"/>
      <c r="J67" s="43"/>
      <c r="K67" s="136"/>
      <c r="L67" s="136"/>
      <c r="M67" s="136"/>
      <c r="N67" s="5"/>
      <c r="O67" s="107"/>
      <c r="P67" s="55"/>
      <c r="Q67" s="61"/>
      <c r="R67" s="11"/>
      <c r="S67" s="11"/>
      <c r="T67" s="11"/>
      <c r="U67" s="11"/>
      <c r="V67" s="11"/>
    </row>
    <row r="68" spans="1:22" x14ac:dyDescent="0.2">
      <c r="A68" s="43">
        <v>132.07147216796875</v>
      </c>
      <c r="B68" s="139">
        <v>0.43729405202850374</v>
      </c>
      <c r="C68" s="60">
        <f t="shared" si="0"/>
        <v>0.4037</v>
      </c>
      <c r="D68" s="60">
        <f t="shared" si="1"/>
        <v>0.25526564143439556</v>
      </c>
      <c r="E68" s="60">
        <f t="shared" si="2"/>
        <v>0.24036915748734744</v>
      </c>
      <c r="F68" s="60">
        <f t="shared" si="3"/>
        <v>7.6987198571003307E-2</v>
      </c>
      <c r="G68" s="60"/>
      <c r="H68" s="143"/>
      <c r="I68" s="136"/>
      <c r="J68" s="43"/>
      <c r="K68" s="136"/>
      <c r="L68" s="136"/>
      <c r="M68" s="136"/>
      <c r="N68" s="5"/>
      <c r="O68" s="107"/>
      <c r="P68" s="55"/>
      <c r="Q68" s="11"/>
      <c r="R68" s="11"/>
      <c r="S68" s="11"/>
      <c r="T68" s="11"/>
      <c r="U68" s="11"/>
      <c r="V68" s="11"/>
    </row>
    <row r="69" spans="1:22" x14ac:dyDescent="0.2">
      <c r="A69" s="43">
        <v>145.78900146484375</v>
      </c>
      <c r="B69" s="139">
        <v>0.58569405202850378</v>
      </c>
      <c r="C69" s="60">
        <f t="shared" si="0"/>
        <v>0.55210000000000004</v>
      </c>
      <c r="D69" s="60">
        <f t="shared" si="1"/>
        <v>0.34189252559424482</v>
      </c>
      <c r="E69" s="60">
        <f t="shared" si="2"/>
        <v>0.32872878832986008</v>
      </c>
      <c r="F69" s="60">
        <f t="shared" si="3"/>
        <v>8.8359630842512638E-2</v>
      </c>
      <c r="G69" s="60"/>
      <c r="H69" s="143"/>
      <c r="I69" s="136"/>
      <c r="J69" s="67"/>
      <c r="K69" s="136"/>
      <c r="L69" s="136"/>
      <c r="M69" s="67"/>
      <c r="N69" s="5"/>
      <c r="O69" s="107"/>
      <c r="P69" s="55"/>
      <c r="Q69" s="11"/>
      <c r="R69" s="11"/>
      <c r="S69" s="11"/>
      <c r="T69" s="11"/>
      <c r="U69" s="11"/>
      <c r="V69" s="11"/>
    </row>
    <row r="70" spans="1:22" x14ac:dyDescent="0.2">
      <c r="A70" s="43">
        <v>159.09428405761719</v>
      </c>
      <c r="B70" s="139">
        <v>0.66889405202850372</v>
      </c>
      <c r="C70" s="60">
        <f t="shared" si="0"/>
        <v>0.63529999999999998</v>
      </c>
      <c r="D70" s="60">
        <f t="shared" si="1"/>
        <v>0.39045961967847298</v>
      </c>
      <c r="E70" s="60">
        <f t="shared" si="2"/>
        <v>0.37826734147067581</v>
      </c>
      <c r="F70" s="60">
        <f t="shared" si="3"/>
        <v>4.9538553140815733E-2</v>
      </c>
      <c r="G70" s="60"/>
      <c r="H70" s="143"/>
      <c r="I70" s="136"/>
      <c r="J70" s="67"/>
      <c r="K70" s="136"/>
      <c r="L70" s="136"/>
      <c r="M70" s="67"/>
      <c r="N70" s="5"/>
      <c r="O70" s="107"/>
      <c r="P70" s="55"/>
      <c r="Q70" s="11"/>
      <c r="R70" s="11"/>
      <c r="S70" s="11"/>
      <c r="T70" s="11"/>
      <c r="U70" s="11"/>
      <c r="V70" s="11"/>
    </row>
    <row r="71" spans="1:22" x14ac:dyDescent="0.2">
      <c r="A71" s="43">
        <v>173.39022827148437</v>
      </c>
      <c r="B71" s="139">
        <v>0.72409405202850374</v>
      </c>
      <c r="C71" s="60">
        <f t="shared" si="0"/>
        <v>0.6905</v>
      </c>
      <c r="D71" s="60">
        <f t="shared" si="1"/>
        <v>0.42268201863820132</v>
      </c>
      <c r="E71" s="60">
        <f t="shared" si="2"/>
        <v>0.41113426615064008</v>
      </c>
      <c r="F71" s="60">
        <f t="shared" si="3"/>
        <v>3.2866924679964271E-2</v>
      </c>
      <c r="G71" s="60"/>
      <c r="H71" s="143"/>
      <c r="I71" s="136"/>
      <c r="J71" s="67"/>
      <c r="K71" s="136"/>
      <c r="L71" s="136"/>
      <c r="M71" s="67"/>
      <c r="N71" s="5"/>
      <c r="O71" s="107"/>
      <c r="P71" s="55"/>
      <c r="Q71" s="11"/>
      <c r="R71" s="11"/>
      <c r="S71" s="11"/>
      <c r="T71" s="11"/>
      <c r="U71" s="11"/>
      <c r="V71" s="11"/>
    </row>
    <row r="72" spans="1:22" x14ac:dyDescent="0.2">
      <c r="A72" s="43">
        <v>190.35183715820312</v>
      </c>
      <c r="B72" s="139">
        <v>0.77019405202850377</v>
      </c>
      <c r="C72" s="60">
        <f t="shared" si="0"/>
        <v>0.73660000000000003</v>
      </c>
      <c r="D72" s="60">
        <f t="shared" si="1"/>
        <v>0.44959239168246717</v>
      </c>
      <c r="E72" s="60">
        <f t="shared" si="2"/>
        <v>0.43858291158082763</v>
      </c>
      <c r="F72" s="60">
        <f t="shared" si="3"/>
        <v>2.7448645430187546E-2</v>
      </c>
      <c r="G72" s="60"/>
      <c r="H72" s="143"/>
      <c r="I72" s="136"/>
      <c r="J72" s="67"/>
      <c r="K72" s="136"/>
      <c r="L72" s="136"/>
      <c r="M72" s="67"/>
      <c r="N72" s="5"/>
      <c r="O72" s="107"/>
      <c r="P72" s="55"/>
      <c r="Q72" s="11"/>
      <c r="R72" s="11"/>
      <c r="S72" s="11"/>
      <c r="T72" s="11"/>
      <c r="U72" s="11"/>
      <c r="V72" s="11"/>
    </row>
    <row r="73" spans="1:22" x14ac:dyDescent="0.2">
      <c r="A73" s="43">
        <v>207.28080749511719</v>
      </c>
      <c r="B73" s="139">
        <v>0.81289405202850373</v>
      </c>
      <c r="C73" s="60">
        <f t="shared" si="0"/>
        <v>0.77929999999999999</v>
      </c>
      <c r="D73" s="60">
        <f t="shared" si="1"/>
        <v>0.47451805174732942</v>
      </c>
      <c r="E73" s="60">
        <f t="shared" si="2"/>
        <v>0.46400714498362605</v>
      </c>
      <c r="F73" s="60">
        <f t="shared" si="3"/>
        <v>2.5424233402798424E-2</v>
      </c>
      <c r="G73" s="60"/>
      <c r="H73" s="143"/>
      <c r="I73" s="136"/>
      <c r="J73" s="67"/>
      <c r="K73" s="136"/>
      <c r="L73" s="136"/>
      <c r="M73" s="67"/>
      <c r="N73" s="5"/>
      <c r="O73" s="107"/>
      <c r="P73" s="55"/>
      <c r="Q73" s="11"/>
      <c r="R73" s="11"/>
      <c r="S73" s="11"/>
      <c r="T73" s="11"/>
      <c r="U73" s="11"/>
      <c r="V73" s="11"/>
    </row>
    <row r="74" spans="1:22" x14ac:dyDescent="0.2">
      <c r="A74" s="43">
        <v>227.23202514648437</v>
      </c>
      <c r="B74" s="139">
        <v>0.85299405202850376</v>
      </c>
      <c r="C74" s="60">
        <f t="shared" si="0"/>
        <v>0.81940000000000002</v>
      </c>
      <c r="D74" s="60">
        <f t="shared" si="1"/>
        <v>0.49792599012205963</v>
      </c>
      <c r="E74" s="60">
        <f t="shared" si="2"/>
        <v>0.48788329860077406</v>
      </c>
      <c r="F74" s="60">
        <f t="shared" si="3"/>
        <v>2.387615361714801E-2</v>
      </c>
      <c r="G74" s="60"/>
      <c r="H74" s="143"/>
      <c r="I74" s="136"/>
      <c r="J74" s="67"/>
      <c r="K74" s="136"/>
      <c r="L74" s="67"/>
      <c r="M74" s="67"/>
      <c r="N74" s="5"/>
      <c r="O74" s="107"/>
      <c r="P74" s="55"/>
      <c r="Q74" s="11"/>
      <c r="R74" s="11"/>
      <c r="S74" s="11"/>
      <c r="T74" s="11"/>
      <c r="U74" s="11"/>
      <c r="V74" s="11"/>
    </row>
    <row r="75" spans="1:22" x14ac:dyDescent="0.2">
      <c r="A75" s="43">
        <v>249.40620422363281</v>
      </c>
      <c r="B75" s="139">
        <v>0.8897940520285037</v>
      </c>
      <c r="C75" s="60">
        <f t="shared" si="0"/>
        <v>0.85619999999999996</v>
      </c>
      <c r="D75" s="60">
        <f t="shared" si="1"/>
        <v>0.51940758942854515</v>
      </c>
      <c r="E75" s="60">
        <f t="shared" si="2"/>
        <v>0.50979458172075021</v>
      </c>
      <c r="F75" s="60">
        <f t="shared" si="3"/>
        <v>2.1911283119976144E-2</v>
      </c>
      <c r="G75" s="60"/>
      <c r="H75" s="143"/>
      <c r="I75" s="136"/>
      <c r="J75" s="67"/>
      <c r="K75" s="136"/>
      <c r="L75" s="67"/>
      <c r="M75" s="67"/>
      <c r="N75" s="5"/>
      <c r="O75" s="107"/>
      <c r="P75" s="55"/>
      <c r="Q75" s="11"/>
      <c r="R75" s="11"/>
      <c r="S75" s="11"/>
      <c r="T75" s="11"/>
      <c r="U75" s="11"/>
      <c r="V75" s="11"/>
    </row>
    <row r="76" spans="1:22" x14ac:dyDescent="0.2">
      <c r="A76" s="43">
        <v>272.391845703125</v>
      </c>
      <c r="B76" s="139">
        <v>0.92349405202850376</v>
      </c>
      <c r="C76" s="60">
        <f t="shared" si="0"/>
        <v>0.88990000000000002</v>
      </c>
      <c r="D76" s="60">
        <f t="shared" si="1"/>
        <v>0.53907959748910395</v>
      </c>
      <c r="E76" s="60">
        <f t="shared" si="2"/>
        <v>0.52986007740398933</v>
      </c>
      <c r="F76" s="60">
        <f t="shared" si="3"/>
        <v>2.0065495683239121E-2</v>
      </c>
      <c r="G76" s="60"/>
      <c r="H76" s="143"/>
      <c r="I76" s="136"/>
      <c r="J76" s="67"/>
      <c r="K76" s="136"/>
      <c r="L76" s="67"/>
      <c r="M76" s="67"/>
      <c r="N76" s="5"/>
      <c r="O76" s="107"/>
      <c r="P76" s="55"/>
      <c r="Q76" s="11"/>
      <c r="R76" s="11"/>
      <c r="S76" s="11"/>
      <c r="T76" s="11"/>
      <c r="U76" s="11"/>
      <c r="V76" s="11"/>
    </row>
    <row r="77" spans="1:22" x14ac:dyDescent="0.2">
      <c r="A77" s="43">
        <v>298.2232666015625</v>
      </c>
      <c r="B77" s="139">
        <v>0.9562940520285037</v>
      </c>
      <c r="C77" s="60">
        <f t="shared" si="0"/>
        <v>0.92269999999999996</v>
      </c>
      <c r="D77" s="60">
        <f t="shared" si="1"/>
        <v>0.55822624034923229</v>
      </c>
      <c r="E77" s="60">
        <f t="shared" si="2"/>
        <v>0.54938969931527237</v>
      </c>
      <c r="F77" s="60">
        <f t="shared" si="3"/>
        <v>1.9529621911283046E-2</v>
      </c>
      <c r="G77" s="60"/>
      <c r="H77" s="143"/>
      <c r="I77" s="136"/>
      <c r="J77" s="67"/>
      <c r="K77" s="136"/>
      <c r="L77" s="67"/>
      <c r="M77" s="67"/>
      <c r="N77" s="5"/>
      <c r="O77" s="107"/>
      <c r="P77" s="55"/>
      <c r="Q77" s="11"/>
      <c r="R77" s="11"/>
      <c r="S77" s="11"/>
      <c r="T77" s="11"/>
      <c r="U77" s="11"/>
      <c r="V77" s="11"/>
    </row>
    <row r="78" spans="1:22" x14ac:dyDescent="0.2">
      <c r="A78" s="43">
        <v>326.37591552734375</v>
      </c>
      <c r="B78" s="139">
        <v>0.9865940520285037</v>
      </c>
      <c r="C78" s="60">
        <f t="shared" si="0"/>
        <v>0.95299999999999996</v>
      </c>
      <c r="D78" s="60">
        <f t="shared" si="1"/>
        <v>0.57591353543038748</v>
      </c>
      <c r="E78" s="60">
        <f t="shared" si="2"/>
        <v>0.56743078297112237</v>
      </c>
      <c r="F78" s="60">
        <f t="shared" si="3"/>
        <v>1.8041083655849999E-2</v>
      </c>
      <c r="G78" s="60"/>
      <c r="H78" s="143"/>
      <c r="I78" s="136"/>
      <c r="J78" s="67"/>
      <c r="K78" s="136"/>
      <c r="L78" s="67"/>
      <c r="M78" s="67"/>
      <c r="N78" s="5"/>
      <c r="O78" s="107"/>
      <c r="P78" s="55"/>
      <c r="Q78" s="11"/>
      <c r="R78" s="11"/>
      <c r="S78" s="11"/>
      <c r="T78" s="11"/>
      <c r="U78" s="11"/>
      <c r="V78" s="11"/>
    </row>
    <row r="79" spans="1:22" x14ac:dyDescent="0.2">
      <c r="A79" s="43">
        <v>356.75851440429687</v>
      </c>
      <c r="B79" s="139">
        <v>1.0163940520285037</v>
      </c>
      <c r="C79" s="60">
        <f t="shared" si="0"/>
        <v>0.98280000000000001</v>
      </c>
      <c r="D79" s="60">
        <f t="shared" si="1"/>
        <v>0.59330896095574814</v>
      </c>
      <c r="E79" s="60">
        <f t="shared" si="2"/>
        <v>0.58517415897588565</v>
      </c>
      <c r="F79" s="60">
        <f t="shared" si="3"/>
        <v>1.7743376004763278E-2</v>
      </c>
      <c r="G79" s="60"/>
      <c r="H79" s="143"/>
      <c r="I79" s="136"/>
      <c r="J79" s="67"/>
      <c r="K79" s="136"/>
      <c r="L79" s="67"/>
      <c r="M79" s="67"/>
      <c r="N79" s="5"/>
      <c r="O79" s="107"/>
      <c r="P79" s="55"/>
      <c r="Q79" s="11"/>
      <c r="R79" s="11"/>
      <c r="S79" s="11"/>
      <c r="T79" s="11"/>
      <c r="U79" s="11"/>
      <c r="V79" s="11"/>
    </row>
    <row r="80" spans="1:22" x14ac:dyDescent="0.2">
      <c r="A80" s="43">
        <v>390.95266723632812</v>
      </c>
      <c r="B80" s="139">
        <v>1.0452940520285037</v>
      </c>
      <c r="C80" s="60">
        <f t="shared" si="0"/>
        <v>1.0117</v>
      </c>
      <c r="D80" s="60">
        <f t="shared" si="1"/>
        <v>0.61017902128067825</v>
      </c>
      <c r="E80" s="60">
        <f t="shared" si="2"/>
        <v>0.60238166120869308</v>
      </c>
      <c r="F80" s="60">
        <f t="shared" si="3"/>
        <v>1.7207502232807426E-2</v>
      </c>
      <c r="G80" s="60"/>
      <c r="H80" s="143"/>
      <c r="I80" s="136"/>
      <c r="J80" s="67"/>
      <c r="K80" s="136"/>
      <c r="L80" s="67"/>
      <c r="M80" s="67"/>
      <c r="N80" s="5"/>
      <c r="O80" s="107"/>
      <c r="P80" s="55"/>
      <c r="Q80" s="11"/>
      <c r="R80" s="11"/>
      <c r="S80" s="11"/>
      <c r="T80" s="11"/>
      <c r="U80" s="11"/>
      <c r="V80" s="11"/>
    </row>
    <row r="81" spans="1:22" x14ac:dyDescent="0.2">
      <c r="A81" s="43">
        <v>428.77883911132812</v>
      </c>
      <c r="B81" s="139">
        <v>1.0734940520285037</v>
      </c>
      <c r="C81" s="60">
        <f t="shared" si="0"/>
        <v>1.0399</v>
      </c>
      <c r="D81" s="60">
        <f t="shared" si="1"/>
        <v>0.62664046422749597</v>
      </c>
      <c r="E81" s="60">
        <f t="shared" si="2"/>
        <v>0.61917237272997916</v>
      </c>
      <c r="F81" s="60">
        <f t="shared" si="3"/>
        <v>1.6790711521286084E-2</v>
      </c>
      <c r="G81" s="60"/>
      <c r="H81" s="143"/>
      <c r="I81" s="136"/>
      <c r="J81" s="67"/>
      <c r="K81" s="136"/>
      <c r="L81" s="67"/>
      <c r="M81" s="67"/>
      <c r="N81" s="5"/>
      <c r="O81" s="107"/>
      <c r="P81" s="55"/>
      <c r="Q81" s="11"/>
      <c r="R81" s="11"/>
      <c r="S81" s="11"/>
      <c r="T81" s="11"/>
      <c r="U81" s="11"/>
      <c r="V81" s="11"/>
    </row>
    <row r="82" spans="1:22" x14ac:dyDescent="0.2">
      <c r="A82" s="43">
        <v>468.39871215820313</v>
      </c>
      <c r="B82" s="139">
        <v>1.0997940520285037</v>
      </c>
      <c r="C82" s="60">
        <f t="shared" si="0"/>
        <v>1.0662</v>
      </c>
      <c r="D82" s="60">
        <f t="shared" si="1"/>
        <v>0.6419928028622941</v>
      </c>
      <c r="E82" s="60">
        <f t="shared" si="2"/>
        <v>0.63483179517713606</v>
      </c>
      <c r="F82" s="60">
        <f t="shared" si="3"/>
        <v>1.5659422447156901E-2</v>
      </c>
      <c r="G82" s="60"/>
      <c r="H82" s="143"/>
      <c r="I82" s="136"/>
      <c r="J82" s="67"/>
      <c r="K82" s="136"/>
      <c r="L82" s="67"/>
      <c r="M82" s="67"/>
      <c r="N82" s="5"/>
      <c r="O82" s="107"/>
      <c r="P82" s="55"/>
      <c r="Q82" s="11"/>
      <c r="R82" s="11"/>
      <c r="S82" s="11"/>
      <c r="T82" s="11"/>
      <c r="U82" s="11"/>
      <c r="V82" s="11"/>
    </row>
    <row r="83" spans="1:22" x14ac:dyDescent="0.2">
      <c r="A83" s="43">
        <v>512.6256103515625</v>
      </c>
      <c r="B83" s="139">
        <v>1.1256940520285037</v>
      </c>
      <c r="C83" s="60">
        <f t="shared" si="0"/>
        <v>1.0921000000000001</v>
      </c>
      <c r="D83" s="60">
        <f t="shared" si="1"/>
        <v>0.65711164585245652</v>
      </c>
      <c r="E83" s="60">
        <f t="shared" si="2"/>
        <v>0.65025305150342372</v>
      </c>
      <c r="F83" s="60">
        <f t="shared" si="3"/>
        <v>1.5421256326287658E-2</v>
      </c>
      <c r="G83" s="60"/>
      <c r="H83" s="143"/>
      <c r="I83" s="67"/>
      <c r="J83" s="67"/>
      <c r="K83" s="136"/>
      <c r="L83" s="67"/>
      <c r="M83" s="67"/>
      <c r="N83" s="5"/>
      <c r="O83" s="107"/>
      <c r="P83" s="55"/>
      <c r="Q83" s="11"/>
      <c r="R83" s="11"/>
      <c r="S83" s="11"/>
      <c r="T83" s="11"/>
      <c r="U83" s="11"/>
      <c r="V83" s="11"/>
    </row>
    <row r="84" spans="1:22" x14ac:dyDescent="0.2">
      <c r="A84" s="43">
        <v>561.51080322265625</v>
      </c>
      <c r="B84" s="139">
        <v>1.1516940520285037</v>
      </c>
      <c r="C84" s="60">
        <f t="shared" si="0"/>
        <v>1.1181000000000001</v>
      </c>
      <c r="D84" s="60">
        <f t="shared" si="1"/>
        <v>0.67228886275377775</v>
      </c>
      <c r="E84" s="60">
        <f t="shared" si="2"/>
        <v>0.66573384935992863</v>
      </c>
      <c r="F84" s="60">
        <f t="shared" si="3"/>
        <v>1.5480797856504913E-2</v>
      </c>
      <c r="G84" s="60"/>
      <c r="H84" s="143"/>
      <c r="I84" s="67"/>
      <c r="J84" s="67"/>
      <c r="K84" s="136"/>
      <c r="L84" s="67"/>
      <c r="M84" s="67"/>
      <c r="N84" s="5"/>
      <c r="O84" s="107"/>
      <c r="P84" s="55"/>
      <c r="Q84" s="11"/>
      <c r="R84" s="11"/>
      <c r="S84" s="11"/>
      <c r="T84" s="11"/>
      <c r="U84" s="11"/>
      <c r="V84" s="11"/>
    </row>
    <row r="85" spans="1:22" x14ac:dyDescent="0.2">
      <c r="A85" s="43">
        <v>612.99505615234375</v>
      </c>
      <c r="B85" s="139">
        <v>1.1761940520285037</v>
      </c>
      <c r="C85" s="60">
        <f t="shared" si="0"/>
        <v>1.1426000000000001</v>
      </c>
      <c r="D85" s="60">
        <f t="shared" si="1"/>
        <v>0.6865904709877152</v>
      </c>
      <c r="E85" s="60">
        <f t="shared" si="2"/>
        <v>0.6803215242631736</v>
      </c>
      <c r="F85" s="60">
        <f t="shared" si="3"/>
        <v>1.4587674903244974E-2</v>
      </c>
      <c r="G85" s="60"/>
      <c r="H85" s="143"/>
      <c r="I85" s="67"/>
      <c r="J85" s="67"/>
      <c r="K85" s="136"/>
      <c r="L85" s="67"/>
      <c r="M85" s="67"/>
      <c r="N85" s="5"/>
      <c r="O85" s="107"/>
      <c r="P85" s="55"/>
      <c r="Q85" s="11"/>
      <c r="R85" s="11"/>
      <c r="S85" s="11"/>
      <c r="T85" s="11"/>
      <c r="U85" s="11"/>
      <c r="V85" s="11"/>
    </row>
    <row r="86" spans="1:22" x14ac:dyDescent="0.2">
      <c r="A86" s="43">
        <v>671.7947998046875</v>
      </c>
      <c r="B86" s="139">
        <v>1.2003940520285037</v>
      </c>
      <c r="C86" s="60">
        <f t="shared" si="0"/>
        <v>1.1668000000000001</v>
      </c>
      <c r="D86" s="60">
        <f t="shared" si="1"/>
        <v>0.70071695748817575</v>
      </c>
      <c r="E86" s="60">
        <f t="shared" si="2"/>
        <v>0.69473057457576659</v>
      </c>
      <c r="F86" s="60">
        <f t="shared" si="3"/>
        <v>1.4409050312592986E-2</v>
      </c>
      <c r="G86" s="60"/>
      <c r="H86" s="143"/>
      <c r="I86" s="67"/>
      <c r="J86" s="67"/>
      <c r="K86" s="136"/>
      <c r="L86" s="67"/>
      <c r="M86" s="67"/>
      <c r="N86" s="5"/>
      <c r="O86" s="107"/>
      <c r="P86" s="55"/>
      <c r="Q86" s="11"/>
      <c r="R86" s="11"/>
      <c r="S86" s="11"/>
      <c r="T86" s="11"/>
      <c r="U86" s="11"/>
      <c r="V86" s="11"/>
    </row>
    <row r="87" spans="1:22" x14ac:dyDescent="0.2">
      <c r="A87" s="43">
        <v>735.12127685546875</v>
      </c>
      <c r="B87" s="139">
        <v>1.2236940520285036</v>
      </c>
      <c r="C87" s="60">
        <f t="shared" si="0"/>
        <v>1.1900999999999999</v>
      </c>
      <c r="D87" s="60">
        <f t="shared" si="1"/>
        <v>0.71431807878820586</v>
      </c>
      <c r="E87" s="60">
        <f t="shared" si="2"/>
        <v>0.70860375111640361</v>
      </c>
      <c r="F87" s="60">
        <f t="shared" si="3"/>
        <v>1.3873176540637022E-2</v>
      </c>
      <c r="G87" s="60"/>
      <c r="H87" s="143"/>
      <c r="I87" s="67"/>
      <c r="J87" s="67"/>
      <c r="K87" s="136"/>
      <c r="L87" s="67"/>
      <c r="M87" s="67"/>
      <c r="N87" s="5"/>
      <c r="O87" s="107"/>
      <c r="P87" s="55"/>
      <c r="Q87" s="11"/>
      <c r="R87" s="11"/>
      <c r="S87" s="11"/>
      <c r="T87" s="11"/>
      <c r="U87" s="11"/>
      <c r="V87" s="11"/>
    </row>
    <row r="88" spans="1:22" x14ac:dyDescent="0.2">
      <c r="A88" s="43">
        <v>805.29315185546875</v>
      </c>
      <c r="B88" s="139">
        <v>1.2465940520285037</v>
      </c>
      <c r="C88" s="60">
        <f t="shared" si="0"/>
        <v>1.2130000000000001</v>
      </c>
      <c r="D88" s="60">
        <f t="shared" si="1"/>
        <v>0.72768570444360048</v>
      </c>
      <c r="E88" s="60">
        <f t="shared" si="2"/>
        <v>0.7222387615361715</v>
      </c>
      <c r="F88" s="60">
        <f t="shared" si="3"/>
        <v>1.363501041976789E-2</v>
      </c>
      <c r="G88" s="60"/>
      <c r="H88" s="143"/>
      <c r="I88" s="67"/>
      <c r="J88" s="67"/>
      <c r="K88" s="136"/>
      <c r="L88" s="67"/>
      <c r="M88" s="67"/>
      <c r="N88" s="5"/>
      <c r="O88" s="107"/>
      <c r="P88" s="55"/>
      <c r="Q88" s="11"/>
      <c r="R88" s="11"/>
      <c r="S88" s="11"/>
      <c r="T88" s="11"/>
      <c r="U88" s="11"/>
      <c r="V88" s="11"/>
    </row>
    <row r="89" spans="1:22" x14ac:dyDescent="0.2">
      <c r="A89" s="43">
        <v>882.249267578125</v>
      </c>
      <c r="B89" s="139">
        <v>1.2686940520285037</v>
      </c>
      <c r="C89" s="60">
        <f t="shared" si="0"/>
        <v>1.2351000000000001</v>
      </c>
      <c r="D89" s="60">
        <f t="shared" si="1"/>
        <v>0.74058633880972369</v>
      </c>
      <c r="E89" s="60">
        <f t="shared" si="2"/>
        <v>0.73539743971420068</v>
      </c>
      <c r="F89" s="60">
        <f t="shared" si="3"/>
        <v>1.3158678178029182E-2</v>
      </c>
      <c r="G89" s="60"/>
      <c r="H89" s="143"/>
      <c r="I89" s="67"/>
      <c r="J89" s="67"/>
      <c r="K89" s="136"/>
      <c r="L89" s="67"/>
      <c r="M89" s="67"/>
      <c r="N89" s="5"/>
      <c r="O89" s="107"/>
      <c r="P89" s="55"/>
      <c r="Q89" s="11"/>
      <c r="R89" s="11"/>
      <c r="S89" s="11"/>
      <c r="T89" s="11"/>
      <c r="U89" s="11"/>
      <c r="V89" s="11"/>
    </row>
    <row r="90" spans="1:22" x14ac:dyDescent="0.2">
      <c r="A90" s="43">
        <v>963.4791259765625</v>
      </c>
      <c r="B90" s="139">
        <v>1.2900940520285036</v>
      </c>
      <c r="C90" s="60">
        <f t="shared" si="0"/>
        <v>1.2565</v>
      </c>
      <c r="D90" s="60">
        <f t="shared" si="1"/>
        <v>0.75307835579773419</v>
      </c>
      <c r="E90" s="60">
        <f t="shared" si="2"/>
        <v>0.74813932718070852</v>
      </c>
      <c r="F90" s="60">
        <f t="shared" si="3"/>
        <v>1.274188746650784E-2</v>
      </c>
      <c r="G90" s="60"/>
      <c r="H90" s="143"/>
      <c r="I90" s="67"/>
      <c r="J90" s="67"/>
      <c r="K90" s="136"/>
      <c r="L90" s="67"/>
      <c r="M90" s="67"/>
      <c r="N90" s="5"/>
      <c r="O90" s="107"/>
      <c r="P90" s="55"/>
      <c r="Q90" s="11"/>
      <c r="R90" s="11"/>
      <c r="S90" s="11"/>
      <c r="T90" s="11"/>
      <c r="U90" s="11"/>
      <c r="V90" s="11"/>
    </row>
    <row r="91" spans="1:22" x14ac:dyDescent="0.2">
      <c r="A91" s="43">
        <v>1049.4617919921875</v>
      </c>
      <c r="B91" s="139">
        <v>1.3100940520285036</v>
      </c>
      <c r="C91" s="60">
        <f t="shared" si="0"/>
        <v>1.2765</v>
      </c>
      <c r="D91" s="60">
        <f t="shared" si="1"/>
        <v>0.76475313802951983</v>
      </c>
      <c r="E91" s="60">
        <f t="shared" si="2"/>
        <v>0.76004763322417379</v>
      </c>
      <c r="F91" s="60">
        <f t="shared" si="3"/>
        <v>1.1908306043465267E-2</v>
      </c>
      <c r="G91" s="60"/>
      <c r="H91" s="143"/>
      <c r="I91" s="67"/>
      <c r="J91" s="67"/>
      <c r="K91" s="136"/>
      <c r="L91" s="67"/>
      <c r="M91" s="67"/>
      <c r="N91" s="5"/>
      <c r="O91" s="107"/>
      <c r="P91" s="55"/>
      <c r="Q91" s="11"/>
      <c r="R91" s="11"/>
      <c r="S91" s="11"/>
      <c r="T91" s="11"/>
      <c r="U91" s="11"/>
      <c r="V91" s="11"/>
    </row>
    <row r="92" spans="1:22" x14ac:dyDescent="0.2">
      <c r="A92" s="43">
        <v>1147.81640625</v>
      </c>
      <c r="B92" s="139">
        <v>1.3304940520285036</v>
      </c>
      <c r="C92" s="60">
        <f t="shared" si="0"/>
        <v>1.2968999999999999</v>
      </c>
      <c r="D92" s="60">
        <f t="shared" si="1"/>
        <v>0.77666141590594107</v>
      </c>
      <c r="E92" s="60">
        <f t="shared" si="2"/>
        <v>0.77219410538850841</v>
      </c>
      <c r="F92" s="60">
        <f t="shared" si="3"/>
        <v>1.2146472164334621E-2</v>
      </c>
      <c r="G92" s="60"/>
      <c r="H92" s="143"/>
      <c r="I92" s="67"/>
      <c r="J92" s="67"/>
      <c r="K92" s="67"/>
      <c r="L92" s="67"/>
      <c r="M92" s="67"/>
      <c r="N92" s="5"/>
      <c r="O92" s="107"/>
      <c r="P92" s="55"/>
      <c r="Q92" s="11"/>
      <c r="R92" s="11"/>
      <c r="S92" s="11"/>
      <c r="T92" s="11"/>
      <c r="U92" s="11"/>
      <c r="V92" s="11"/>
    </row>
    <row r="93" spans="1:22" x14ac:dyDescent="0.2">
      <c r="A93" s="43">
        <v>1257.88330078125</v>
      </c>
      <c r="B93" s="139">
        <v>1.3504940520285036</v>
      </c>
      <c r="C93" s="60">
        <f t="shared" si="0"/>
        <v>1.3169</v>
      </c>
      <c r="D93" s="60">
        <f t="shared" si="1"/>
        <v>0.78833619813772671</v>
      </c>
      <c r="E93" s="60">
        <f t="shared" si="2"/>
        <v>0.78410241143197379</v>
      </c>
      <c r="F93" s="60">
        <f t="shared" si="3"/>
        <v>1.1908306043465378E-2</v>
      </c>
      <c r="G93" s="60"/>
      <c r="H93" s="143"/>
      <c r="I93" s="67"/>
      <c r="J93" s="67"/>
      <c r="K93" s="67"/>
      <c r="L93" s="67"/>
      <c r="M93" s="67"/>
      <c r="N93" s="5"/>
      <c r="O93" s="107"/>
      <c r="P93" s="55"/>
      <c r="Q93" s="11"/>
      <c r="R93" s="11"/>
      <c r="S93" s="11"/>
      <c r="T93" s="11"/>
      <c r="U93" s="11"/>
      <c r="V93" s="11"/>
    </row>
    <row r="94" spans="1:22" x14ac:dyDescent="0.2">
      <c r="A94" s="43">
        <v>1377.6939697265625</v>
      </c>
      <c r="B94" s="139">
        <v>1.3694940520285037</v>
      </c>
      <c r="C94" s="60">
        <f t="shared" si="0"/>
        <v>1.3359000000000001</v>
      </c>
      <c r="D94" s="60">
        <f t="shared" si="1"/>
        <v>0.79942724125792319</v>
      </c>
      <c r="E94" s="60">
        <f t="shared" si="2"/>
        <v>0.79541530217326595</v>
      </c>
      <c r="F94" s="60">
        <f t="shared" si="3"/>
        <v>1.1312890741292159E-2</v>
      </c>
      <c r="G94" s="60"/>
      <c r="H94" s="143"/>
      <c r="I94" s="67"/>
      <c r="J94" s="67"/>
      <c r="K94" s="67"/>
      <c r="L94" s="67"/>
      <c r="M94" s="67"/>
      <c r="N94" s="5"/>
      <c r="O94" s="107"/>
      <c r="P94" s="55"/>
      <c r="Q94" s="11"/>
      <c r="R94" s="11"/>
      <c r="S94" s="11"/>
      <c r="T94" s="11"/>
      <c r="U94" s="11"/>
      <c r="V94" s="11"/>
    </row>
    <row r="95" spans="1:22" x14ac:dyDescent="0.2">
      <c r="A95" s="43">
        <v>1508.98828125</v>
      </c>
      <c r="B95" s="139">
        <v>1.3877940520285037</v>
      </c>
      <c r="C95" s="60">
        <f t="shared" si="0"/>
        <v>1.3542000000000001</v>
      </c>
      <c r="D95" s="60">
        <f t="shared" si="1"/>
        <v>0.81010966700000697</v>
      </c>
      <c r="E95" s="60">
        <f t="shared" si="2"/>
        <v>0.80631140220303665</v>
      </c>
      <c r="F95" s="60">
        <f t="shared" si="3"/>
        <v>1.0896100029770706E-2</v>
      </c>
      <c r="G95" s="60"/>
      <c r="H95" s="143"/>
      <c r="I95" s="67"/>
      <c r="J95" s="67"/>
      <c r="K95" s="67"/>
      <c r="L95" s="67"/>
      <c r="M95" s="67"/>
      <c r="N95" s="5"/>
      <c r="O95" s="107"/>
      <c r="P95" s="55"/>
      <c r="Q95" s="11"/>
      <c r="R95" s="11"/>
      <c r="S95" s="11"/>
      <c r="T95" s="11"/>
      <c r="U95" s="11"/>
      <c r="V95" s="11"/>
    </row>
    <row r="96" spans="1:22" x14ac:dyDescent="0.2">
      <c r="A96" s="43">
        <v>1647.8408203125</v>
      </c>
      <c r="B96" s="139">
        <v>1.4052940520285035</v>
      </c>
      <c r="C96" s="60">
        <f t="shared" si="0"/>
        <v>1.3716999999999999</v>
      </c>
      <c r="D96" s="60">
        <f t="shared" si="1"/>
        <v>0.82032510145281934</v>
      </c>
      <c r="E96" s="60">
        <f t="shared" si="2"/>
        <v>0.81673116999106876</v>
      </c>
      <c r="F96" s="60">
        <f t="shared" si="3"/>
        <v>1.0419767788032108E-2</v>
      </c>
      <c r="G96" s="60"/>
      <c r="H96" s="143"/>
      <c r="I96" s="67"/>
      <c r="J96" s="67"/>
      <c r="K96" s="67"/>
      <c r="L96" s="67"/>
      <c r="M96" s="67"/>
      <c r="N96" s="5"/>
      <c r="O96" s="107"/>
      <c r="P96" s="55"/>
      <c r="Q96" s="11"/>
      <c r="R96" s="11"/>
      <c r="S96" s="11"/>
      <c r="T96" s="11"/>
      <c r="U96" s="11"/>
      <c r="V96" s="11"/>
    </row>
    <row r="97" spans="1:22" x14ac:dyDescent="0.2">
      <c r="A97" s="43">
        <v>1810.311767578125</v>
      </c>
      <c r="B97" s="139">
        <v>1.4227940520285036</v>
      </c>
      <c r="C97" s="60">
        <f t="shared" si="0"/>
        <v>1.3892</v>
      </c>
      <c r="D97" s="60">
        <f t="shared" si="1"/>
        <v>0.83054053590563182</v>
      </c>
      <c r="E97" s="60">
        <f t="shared" si="2"/>
        <v>0.82715093777910087</v>
      </c>
      <c r="F97" s="60">
        <f t="shared" si="3"/>
        <v>1.0419767788032108E-2</v>
      </c>
      <c r="G97" s="60"/>
      <c r="H97" s="143"/>
      <c r="I97" s="67"/>
      <c r="J97" s="67"/>
      <c r="K97" s="67"/>
      <c r="L97" s="67"/>
      <c r="M97" s="67"/>
      <c r="N97" s="5"/>
      <c r="O97" s="107"/>
      <c r="P97" s="55"/>
      <c r="Q97" s="11"/>
      <c r="R97" s="11"/>
      <c r="S97" s="11"/>
      <c r="T97" s="11"/>
      <c r="U97" s="11"/>
      <c r="V97" s="11"/>
    </row>
    <row r="98" spans="1:22" x14ac:dyDescent="0.2">
      <c r="A98" s="43">
        <v>1977.9501953125</v>
      </c>
      <c r="B98" s="139">
        <v>1.4390940520285036</v>
      </c>
      <c r="C98" s="60">
        <f t="shared" si="0"/>
        <v>1.4055</v>
      </c>
      <c r="D98" s="60">
        <f t="shared" si="1"/>
        <v>0.84005548342453706</v>
      </c>
      <c r="E98" s="60">
        <f t="shared" si="2"/>
        <v>0.83685620720452514</v>
      </c>
      <c r="F98" s="60">
        <f t="shared" si="3"/>
        <v>9.7052694254242677E-3</v>
      </c>
      <c r="G98" s="60"/>
      <c r="H98" s="143"/>
      <c r="I98" s="67"/>
      <c r="J98" s="67"/>
      <c r="K98" s="67"/>
      <c r="L98" s="67"/>
      <c r="M98" s="67"/>
      <c r="N98" s="5"/>
      <c r="O98" s="107"/>
      <c r="P98" s="55"/>
      <c r="Q98" s="11"/>
      <c r="R98" s="11"/>
      <c r="S98" s="11"/>
      <c r="T98" s="11"/>
      <c r="U98" s="11"/>
      <c r="V98" s="11"/>
    </row>
    <row r="99" spans="1:22" x14ac:dyDescent="0.2">
      <c r="A99" s="43">
        <v>2157.90869140625</v>
      </c>
      <c r="B99" s="139">
        <v>1.4543940520285037</v>
      </c>
      <c r="C99" s="60">
        <f t="shared" si="0"/>
        <v>1.4208000000000001</v>
      </c>
      <c r="D99" s="60">
        <f t="shared" si="1"/>
        <v>0.84898669183185305</v>
      </c>
      <c r="E99" s="60">
        <f t="shared" si="2"/>
        <v>0.84596606132777619</v>
      </c>
      <c r="F99" s="60">
        <f t="shared" si="3"/>
        <v>9.1098541232510488E-3</v>
      </c>
      <c r="G99" s="60"/>
      <c r="H99" s="143"/>
      <c r="I99" s="67"/>
      <c r="J99" s="67"/>
      <c r="K99" s="67"/>
      <c r="L99" s="67"/>
      <c r="M99" s="67"/>
      <c r="N99" s="5"/>
      <c r="O99" s="107"/>
      <c r="P99" s="55"/>
      <c r="Q99" s="11"/>
      <c r="R99" s="11"/>
      <c r="S99" s="11"/>
      <c r="T99" s="11"/>
      <c r="U99" s="11"/>
      <c r="V99" s="11"/>
    </row>
    <row r="100" spans="1:22" x14ac:dyDescent="0.2">
      <c r="A100" s="43">
        <v>2367.27734375</v>
      </c>
      <c r="B100" s="139">
        <v>1.4701940520285037</v>
      </c>
      <c r="C100" s="60">
        <f t="shared" si="0"/>
        <v>1.4366000000000001</v>
      </c>
      <c r="D100" s="60">
        <f t="shared" si="1"/>
        <v>0.85820976979496377</v>
      </c>
      <c r="E100" s="60">
        <f t="shared" si="2"/>
        <v>0.85537362310211373</v>
      </c>
      <c r="F100" s="60">
        <f t="shared" si="3"/>
        <v>9.4075617743375473E-3</v>
      </c>
      <c r="G100" s="60"/>
      <c r="H100" s="143"/>
      <c r="I100" s="67"/>
      <c r="J100" s="67"/>
      <c r="K100" s="67"/>
      <c r="L100" s="67"/>
      <c r="M100" s="67"/>
      <c r="N100" s="5"/>
      <c r="O100" s="107"/>
      <c r="P100" s="55"/>
      <c r="Q100" s="11"/>
      <c r="R100" s="11"/>
      <c r="S100" s="11"/>
      <c r="T100" s="11"/>
      <c r="U100" s="11"/>
      <c r="V100" s="11"/>
    </row>
    <row r="101" spans="1:22" x14ac:dyDescent="0.2">
      <c r="A101" s="43">
        <v>2587.785400390625</v>
      </c>
      <c r="B101" s="139">
        <v>1.4848940520285037</v>
      </c>
      <c r="C101" s="60">
        <f t="shared" si="0"/>
        <v>1.4513</v>
      </c>
      <c r="D101" s="60">
        <f t="shared" si="1"/>
        <v>0.86679073473532608</v>
      </c>
      <c r="E101" s="60">
        <f t="shared" si="2"/>
        <v>0.86412622804406081</v>
      </c>
      <c r="F101" s="60">
        <f t="shared" si="3"/>
        <v>8.7526049419470731E-3</v>
      </c>
      <c r="G101" s="60"/>
      <c r="H101" s="143"/>
      <c r="I101" s="67"/>
      <c r="J101" s="67"/>
      <c r="K101" s="67"/>
      <c r="L101" s="67"/>
      <c r="M101" s="67"/>
      <c r="N101" s="5"/>
      <c r="O101" s="107"/>
      <c r="P101" s="55"/>
      <c r="Q101" s="11"/>
      <c r="R101" s="11"/>
      <c r="S101" s="11"/>
      <c r="T101" s="11"/>
      <c r="U101" s="11"/>
      <c r="V101" s="11"/>
    </row>
    <row r="102" spans="1:22" x14ac:dyDescent="0.2">
      <c r="A102" s="43">
        <v>2828.416259765625</v>
      </c>
      <c r="B102" s="139">
        <v>1.4987940520285037</v>
      </c>
      <c r="C102" s="60">
        <f t="shared" si="0"/>
        <v>1.4652000000000001</v>
      </c>
      <c r="D102" s="60">
        <f t="shared" si="1"/>
        <v>0.8749047083864171</v>
      </c>
      <c r="E102" s="60">
        <f t="shared" si="2"/>
        <v>0.87240250074426917</v>
      </c>
      <c r="F102" s="60">
        <f t="shared" si="3"/>
        <v>8.2762727002083647E-3</v>
      </c>
      <c r="G102" s="60"/>
      <c r="H102" s="143"/>
      <c r="I102" s="67"/>
      <c r="J102" s="67"/>
      <c r="K102" s="67"/>
      <c r="L102" s="67"/>
      <c r="M102" s="67"/>
      <c r="N102" s="5"/>
      <c r="O102" s="107"/>
      <c r="P102" s="55"/>
      <c r="Q102" s="11"/>
      <c r="R102" s="11"/>
      <c r="S102" s="11"/>
      <c r="T102" s="11"/>
      <c r="U102" s="11"/>
      <c r="V102" s="11"/>
    </row>
    <row r="103" spans="1:22" x14ac:dyDescent="0.2">
      <c r="A103" s="43">
        <v>3097.677490234375</v>
      </c>
      <c r="B103" s="139">
        <v>1.5129940520285037</v>
      </c>
      <c r="C103" s="60">
        <f t="shared" si="0"/>
        <v>1.4794</v>
      </c>
      <c r="D103" s="60">
        <f t="shared" si="1"/>
        <v>0.88319380377098489</v>
      </c>
      <c r="E103" s="60">
        <f t="shared" si="2"/>
        <v>0.88085739803512952</v>
      </c>
      <c r="F103" s="60">
        <f t="shared" si="3"/>
        <v>8.4548972908603526E-3</v>
      </c>
      <c r="G103" s="60"/>
      <c r="H103" s="143"/>
      <c r="I103" s="67"/>
      <c r="J103" s="67"/>
      <c r="K103" s="67"/>
      <c r="L103" s="67"/>
      <c r="M103" s="67"/>
      <c r="N103" s="5"/>
      <c r="O103" s="107"/>
      <c r="P103" s="55"/>
      <c r="Q103" s="11"/>
      <c r="R103" s="11"/>
      <c r="S103" s="11"/>
      <c r="T103" s="11"/>
      <c r="U103" s="11"/>
      <c r="V103" s="11"/>
    </row>
    <row r="104" spans="1:22" x14ac:dyDescent="0.2">
      <c r="A104" s="43">
        <v>3388.3642578125</v>
      </c>
      <c r="B104" s="139">
        <v>1.5262940520285035</v>
      </c>
      <c r="C104" s="60">
        <f t="shared" si="0"/>
        <v>1.4926999999999999</v>
      </c>
      <c r="D104" s="60">
        <f t="shared" si="1"/>
        <v>0.89095753395512234</v>
      </c>
      <c r="E104" s="60">
        <f t="shared" si="2"/>
        <v>0.88877642155403391</v>
      </c>
      <c r="F104" s="60">
        <f t="shared" si="3"/>
        <v>7.9190235189043889E-3</v>
      </c>
      <c r="G104" s="60"/>
      <c r="H104" s="143"/>
      <c r="I104" s="67"/>
      <c r="J104" s="67"/>
      <c r="K104" s="67"/>
      <c r="L104" s="67"/>
      <c r="M104" s="67"/>
      <c r="N104" s="5"/>
      <c r="O104" s="107"/>
      <c r="P104" s="55"/>
      <c r="Q104" s="11"/>
      <c r="R104" s="11"/>
      <c r="S104" s="11"/>
      <c r="T104" s="11"/>
      <c r="U104" s="11"/>
      <c r="V104" s="11"/>
    </row>
    <row r="105" spans="1:22" x14ac:dyDescent="0.2">
      <c r="A105" s="43">
        <v>3707.504150390625</v>
      </c>
      <c r="B105" s="139">
        <v>1.5392940520285037</v>
      </c>
      <c r="C105" s="60">
        <f t="shared" si="0"/>
        <v>1.5057</v>
      </c>
      <c r="D105" s="60">
        <f t="shared" si="1"/>
        <v>0.89854614240578301</v>
      </c>
      <c r="E105" s="60">
        <f t="shared" si="2"/>
        <v>0.89651682048228643</v>
      </c>
      <c r="F105" s="60">
        <f t="shared" si="3"/>
        <v>7.7403989282525121E-3</v>
      </c>
      <c r="G105" s="60"/>
      <c r="H105" s="143"/>
      <c r="I105" s="67"/>
      <c r="J105" s="67"/>
      <c r="K105" s="67"/>
      <c r="L105" s="67"/>
      <c r="M105" s="67"/>
      <c r="N105" s="5"/>
      <c r="O105" s="107"/>
      <c r="P105" s="55"/>
      <c r="Q105" s="11"/>
      <c r="R105" s="11"/>
      <c r="S105" s="11"/>
      <c r="T105" s="11"/>
      <c r="U105" s="11"/>
      <c r="V105" s="11"/>
    </row>
    <row r="106" spans="1:22" x14ac:dyDescent="0.2">
      <c r="A106" s="43">
        <v>4057.88720703125</v>
      </c>
      <c r="B106" s="139">
        <v>1.5517940520285036</v>
      </c>
      <c r="C106" s="60">
        <f t="shared" si="0"/>
        <v>1.5182</v>
      </c>
      <c r="D106" s="60">
        <f t="shared" si="1"/>
        <v>0.90584288130064905</v>
      </c>
      <c r="E106" s="60">
        <f t="shared" si="2"/>
        <v>0.90395951175945222</v>
      </c>
      <c r="F106" s="60">
        <f t="shared" si="3"/>
        <v>7.4426912771657916E-3</v>
      </c>
      <c r="G106" s="60"/>
      <c r="H106" s="143"/>
      <c r="I106" s="67"/>
      <c r="J106" s="67"/>
      <c r="K106" s="67"/>
      <c r="L106" s="67"/>
      <c r="M106" s="67"/>
      <c r="N106" s="5"/>
      <c r="O106" s="107"/>
      <c r="P106" s="55"/>
      <c r="Q106" s="11"/>
      <c r="R106" s="11"/>
      <c r="S106" s="11"/>
      <c r="T106" s="11"/>
      <c r="U106" s="11"/>
      <c r="V106" s="11"/>
    </row>
    <row r="107" spans="1:22" x14ac:dyDescent="0.2">
      <c r="A107" s="43">
        <v>4436.26611328125</v>
      </c>
      <c r="B107" s="139">
        <v>1.5642940520285036</v>
      </c>
      <c r="C107" s="60">
        <f t="shared" si="0"/>
        <v>1.5306999999999999</v>
      </c>
      <c r="D107" s="60">
        <f t="shared" si="1"/>
        <v>0.91313962019551498</v>
      </c>
      <c r="E107" s="60">
        <f t="shared" si="2"/>
        <v>0.91140220303661801</v>
      </c>
      <c r="F107" s="60">
        <f t="shared" si="3"/>
        <v>7.4426912771657916E-3</v>
      </c>
      <c r="G107" s="60"/>
      <c r="H107" s="143"/>
      <c r="I107" s="67"/>
      <c r="J107" s="67"/>
      <c r="K107" s="67"/>
      <c r="L107" s="67"/>
      <c r="M107" s="67"/>
      <c r="N107" s="5"/>
      <c r="O107" s="107"/>
      <c r="P107" s="55"/>
      <c r="Q107" s="11"/>
      <c r="R107" s="11"/>
      <c r="S107" s="11"/>
      <c r="T107" s="11"/>
      <c r="U107" s="11"/>
      <c r="V107" s="11"/>
    </row>
    <row r="108" spans="1:22" x14ac:dyDescent="0.2">
      <c r="A108" s="43">
        <v>4846.330078125</v>
      </c>
      <c r="B108" s="139">
        <v>1.5761940520285036</v>
      </c>
      <c r="C108" s="60">
        <f t="shared" si="0"/>
        <v>1.5426</v>
      </c>
      <c r="D108" s="60">
        <f t="shared" si="1"/>
        <v>0.92008611562342746</v>
      </c>
      <c r="E108" s="60">
        <f t="shared" si="2"/>
        <v>0.91848764513247994</v>
      </c>
      <c r="F108" s="60">
        <f t="shared" si="3"/>
        <v>7.0854420958619269E-3</v>
      </c>
      <c r="G108" s="60"/>
      <c r="H108" s="143"/>
      <c r="I108" s="67"/>
      <c r="J108" s="67"/>
      <c r="K108" s="67"/>
      <c r="L108" s="67"/>
      <c r="M108" s="67"/>
      <c r="N108" s="5"/>
      <c r="O108" s="107"/>
      <c r="P108" s="55"/>
      <c r="Q108" s="11"/>
      <c r="R108" s="11"/>
      <c r="S108" s="11"/>
      <c r="T108" s="11"/>
      <c r="U108" s="11"/>
      <c r="V108" s="11"/>
    </row>
    <row r="109" spans="1:22" x14ac:dyDescent="0.2">
      <c r="A109" s="43">
        <v>5306.1572265625</v>
      </c>
      <c r="B109" s="139">
        <v>1.5866940520285036</v>
      </c>
      <c r="C109" s="60">
        <f t="shared" si="0"/>
        <v>1.5530999999999999</v>
      </c>
      <c r="D109" s="60">
        <f t="shared" si="1"/>
        <v>0.92621537629511486</v>
      </c>
      <c r="E109" s="60">
        <f t="shared" si="2"/>
        <v>0.92473950580529918</v>
      </c>
      <c r="F109" s="60">
        <f t="shared" si="3"/>
        <v>6.2518606728192427E-3</v>
      </c>
      <c r="G109" s="60"/>
      <c r="H109" s="143"/>
      <c r="I109" s="67"/>
      <c r="J109" s="67"/>
      <c r="K109" s="67"/>
      <c r="L109" s="67"/>
      <c r="M109" s="67"/>
      <c r="N109" s="5"/>
      <c r="O109" s="107"/>
      <c r="P109" s="55"/>
      <c r="Q109" s="11"/>
      <c r="R109" s="11"/>
      <c r="S109" s="11"/>
      <c r="T109" s="11"/>
      <c r="U109" s="11"/>
      <c r="V109" s="11"/>
    </row>
    <row r="110" spans="1:22" x14ac:dyDescent="0.2">
      <c r="A110" s="43">
        <v>5806.18505859375</v>
      </c>
      <c r="B110" s="139">
        <v>1.5976940520285037</v>
      </c>
      <c r="C110" s="60">
        <f t="shared" si="0"/>
        <v>1.5641</v>
      </c>
      <c r="D110" s="60">
        <f t="shared" si="1"/>
        <v>0.932636506522597</v>
      </c>
      <c r="E110" s="60">
        <f t="shared" si="2"/>
        <v>0.93128907412920514</v>
      </c>
      <c r="F110" s="60">
        <f t="shared" si="3"/>
        <v>6.5495683239059632E-3</v>
      </c>
      <c r="G110" s="60"/>
      <c r="H110" s="143"/>
      <c r="I110" s="67"/>
      <c r="J110" s="67"/>
      <c r="K110" s="67"/>
      <c r="L110" s="67"/>
      <c r="M110" s="67"/>
      <c r="N110" s="5"/>
      <c r="O110" s="107"/>
      <c r="P110" s="55"/>
      <c r="Q110" s="11"/>
      <c r="R110" s="11"/>
      <c r="S110" s="11"/>
      <c r="T110" s="11"/>
      <c r="U110" s="11"/>
      <c r="V110" s="11"/>
    </row>
    <row r="111" spans="1:22" x14ac:dyDescent="0.2">
      <c r="A111" s="43">
        <v>6356.0322265625</v>
      </c>
      <c r="B111" s="139">
        <v>1.6079940520285037</v>
      </c>
      <c r="C111" s="60">
        <f t="shared" si="0"/>
        <v>1.5744</v>
      </c>
      <c r="D111" s="60">
        <f t="shared" si="1"/>
        <v>0.93864901937196665</v>
      </c>
      <c r="E111" s="60">
        <f t="shared" si="2"/>
        <v>0.93742185174158976</v>
      </c>
      <c r="F111" s="60">
        <f t="shared" si="3"/>
        <v>6.1327776123846212E-3</v>
      </c>
      <c r="G111" s="60"/>
      <c r="H111" s="143"/>
      <c r="I111" s="67"/>
      <c r="J111" s="67"/>
      <c r="K111" s="67"/>
      <c r="L111" s="67"/>
      <c r="M111" s="67"/>
      <c r="N111" s="5"/>
      <c r="O111" s="107"/>
      <c r="P111" s="55"/>
      <c r="Q111" s="11"/>
      <c r="R111" s="11"/>
      <c r="S111" s="11"/>
      <c r="T111" s="11"/>
      <c r="U111" s="11"/>
      <c r="V111" s="11"/>
    </row>
    <row r="112" spans="1:22" x14ac:dyDescent="0.2">
      <c r="A112" s="43">
        <v>6946.64892578125</v>
      </c>
      <c r="B112" s="139">
        <v>1.6175940520285037</v>
      </c>
      <c r="C112" s="60">
        <f t="shared" si="0"/>
        <v>1.5840000000000001</v>
      </c>
      <c r="D112" s="60">
        <f t="shared" si="1"/>
        <v>0.94425291484322371</v>
      </c>
      <c r="E112" s="60">
        <f t="shared" si="2"/>
        <v>0.94313783864245315</v>
      </c>
      <c r="F112" s="60">
        <f t="shared" si="3"/>
        <v>5.7159869008633901E-3</v>
      </c>
      <c r="G112" s="60"/>
      <c r="H112" s="143"/>
      <c r="I112" s="67"/>
      <c r="J112" s="67"/>
      <c r="K112" s="67"/>
      <c r="L112" s="67"/>
      <c r="M112" s="67"/>
      <c r="N112" s="5"/>
      <c r="O112" s="107"/>
      <c r="P112" s="55"/>
      <c r="Q112" s="11"/>
      <c r="R112" s="11"/>
      <c r="S112" s="11"/>
      <c r="T112" s="11"/>
      <c r="U112" s="11"/>
      <c r="V112" s="11"/>
    </row>
    <row r="113" spans="1:22" x14ac:dyDescent="0.2">
      <c r="A113" s="43">
        <v>7605.603515625</v>
      </c>
      <c r="B113" s="139">
        <v>1.6266940520285036</v>
      </c>
      <c r="C113" s="60">
        <f t="shared" si="0"/>
        <v>1.5931</v>
      </c>
      <c r="D113" s="60">
        <f t="shared" si="1"/>
        <v>0.94956494075868614</v>
      </c>
      <c r="E113" s="60">
        <f t="shared" si="2"/>
        <v>0.94855611789222982</v>
      </c>
      <c r="F113" s="60">
        <f t="shared" si="3"/>
        <v>5.4182792497766696E-3</v>
      </c>
      <c r="G113" s="60"/>
      <c r="H113" s="143"/>
      <c r="I113" s="67"/>
      <c r="J113" s="67"/>
      <c r="K113" s="67"/>
      <c r="L113" s="67"/>
      <c r="M113" s="67"/>
      <c r="N113" s="5"/>
      <c r="O113" s="107"/>
      <c r="P113" s="55"/>
      <c r="Q113" s="11"/>
      <c r="R113" s="11"/>
      <c r="S113" s="11"/>
      <c r="T113" s="11"/>
      <c r="U113" s="11"/>
      <c r="V113" s="11"/>
    </row>
    <row r="114" spans="1:22" x14ac:dyDescent="0.2">
      <c r="A114" s="43">
        <v>8316.3798828125</v>
      </c>
      <c r="B114" s="139">
        <v>1.6347940520285036</v>
      </c>
      <c r="C114" s="60">
        <f t="shared" si="0"/>
        <v>1.6012</v>
      </c>
      <c r="D114" s="60">
        <f t="shared" si="1"/>
        <v>0.9542932275625593</v>
      </c>
      <c r="E114" s="60">
        <f t="shared" si="2"/>
        <v>0.95337898183983327</v>
      </c>
      <c r="F114" s="60">
        <f t="shared" si="3"/>
        <v>4.8228639476034507E-3</v>
      </c>
      <c r="G114" s="60"/>
      <c r="H114" s="143"/>
      <c r="I114" s="67"/>
      <c r="J114" s="67"/>
      <c r="K114" s="67"/>
      <c r="L114" s="67"/>
      <c r="M114" s="67"/>
      <c r="N114" s="5"/>
      <c r="O114" s="107"/>
      <c r="P114" s="55"/>
      <c r="Q114" s="11"/>
      <c r="R114" s="11"/>
      <c r="S114" s="11"/>
      <c r="T114" s="11"/>
      <c r="U114" s="11"/>
      <c r="V114" s="11"/>
    </row>
    <row r="115" spans="1:22" x14ac:dyDescent="0.2">
      <c r="A115" s="43">
        <v>9095.7431640625</v>
      </c>
      <c r="B115" s="139">
        <v>1.6436940520285037</v>
      </c>
      <c r="C115" s="60">
        <f t="shared" si="0"/>
        <v>1.6101000000000001</v>
      </c>
      <c r="D115" s="60">
        <f t="shared" si="1"/>
        <v>0.95948850565570398</v>
      </c>
      <c r="E115" s="60">
        <f t="shared" si="2"/>
        <v>0.95867817802917543</v>
      </c>
      <c r="F115" s="60">
        <f t="shared" si="3"/>
        <v>5.2991961893421591E-3</v>
      </c>
      <c r="G115" s="60"/>
      <c r="H115" s="143"/>
      <c r="I115" s="67"/>
      <c r="J115" s="67"/>
      <c r="K115" s="67"/>
      <c r="L115" s="67"/>
      <c r="M115" s="67"/>
      <c r="N115" s="5"/>
      <c r="O115" s="107"/>
      <c r="P115" s="55"/>
      <c r="Q115" s="11"/>
      <c r="R115" s="11"/>
      <c r="S115" s="11"/>
      <c r="T115" s="11"/>
      <c r="U115" s="11"/>
      <c r="V115" s="11"/>
    </row>
    <row r="116" spans="1:22" x14ac:dyDescent="0.2">
      <c r="A116" s="43">
        <v>9956.6552734375</v>
      </c>
      <c r="B116" s="139">
        <v>1.6508940520285036</v>
      </c>
      <c r="C116" s="60">
        <f t="shared" si="0"/>
        <v>1.6173</v>
      </c>
      <c r="D116" s="60">
        <f t="shared" si="1"/>
        <v>0.96369142725914669</v>
      </c>
      <c r="E116" s="60">
        <f t="shared" si="2"/>
        <v>0.96296516820482281</v>
      </c>
      <c r="F116" s="60">
        <f t="shared" si="3"/>
        <v>4.2869901756473761E-3</v>
      </c>
      <c r="G116" s="60"/>
      <c r="H116" s="143"/>
      <c r="I116" s="67"/>
      <c r="J116" s="67"/>
      <c r="K116" s="67"/>
      <c r="L116" s="67"/>
      <c r="M116" s="67"/>
      <c r="N116" s="5"/>
      <c r="O116" s="107"/>
      <c r="P116" s="55"/>
      <c r="Q116" s="11"/>
      <c r="R116" s="11"/>
      <c r="S116" s="11"/>
      <c r="T116" s="11"/>
      <c r="U116" s="11"/>
      <c r="V116" s="11"/>
    </row>
    <row r="117" spans="1:22" x14ac:dyDescent="0.2">
      <c r="A117" s="43">
        <v>10895.544921875</v>
      </c>
      <c r="B117" s="139">
        <v>1.6580940520285037</v>
      </c>
      <c r="C117" s="60">
        <f t="shared" si="0"/>
        <v>1.6245000000000001</v>
      </c>
      <c r="D117" s="60">
        <f t="shared" si="1"/>
        <v>0.96789434886258963</v>
      </c>
      <c r="E117" s="60">
        <f t="shared" si="2"/>
        <v>0.96725215838047041</v>
      </c>
      <c r="F117" s="60">
        <f t="shared" si="3"/>
        <v>4.2869901756475981E-3</v>
      </c>
      <c r="G117" s="60"/>
      <c r="H117" s="143"/>
      <c r="I117" s="67"/>
      <c r="J117" s="67"/>
      <c r="K117" s="67"/>
      <c r="L117" s="67"/>
      <c r="M117" s="67"/>
      <c r="N117" s="5"/>
      <c r="O117" s="107"/>
      <c r="P117" s="55"/>
      <c r="Q117" s="11"/>
      <c r="R117" s="11"/>
      <c r="S117" s="11"/>
      <c r="T117" s="11"/>
      <c r="U117" s="11"/>
      <c r="V117" s="11"/>
    </row>
    <row r="118" spans="1:22" x14ac:dyDescent="0.2">
      <c r="A118" s="43">
        <v>11896.017578125</v>
      </c>
      <c r="B118" s="139">
        <v>1.6642940520285037</v>
      </c>
      <c r="C118" s="60">
        <f t="shared" si="0"/>
        <v>1.6307</v>
      </c>
      <c r="D118" s="60">
        <f t="shared" si="1"/>
        <v>0.97151353135444307</v>
      </c>
      <c r="E118" s="60">
        <f t="shared" si="2"/>
        <v>0.97094373325394467</v>
      </c>
      <c r="F118" s="60">
        <f t="shared" si="3"/>
        <v>3.6915748734742682E-3</v>
      </c>
      <c r="G118" s="60"/>
      <c r="H118" s="143"/>
      <c r="I118" s="67"/>
      <c r="J118" s="67"/>
      <c r="K118" s="67"/>
      <c r="L118" s="67"/>
      <c r="M118" s="67"/>
      <c r="N118" s="5"/>
      <c r="O118" s="107"/>
      <c r="P118" s="55"/>
      <c r="Q118" s="11"/>
      <c r="R118" s="11"/>
      <c r="S118" s="11"/>
      <c r="T118" s="11"/>
      <c r="U118" s="11"/>
      <c r="V118" s="11"/>
    </row>
    <row r="119" spans="1:22" x14ac:dyDescent="0.2">
      <c r="A119" s="43">
        <v>12996.1474609375</v>
      </c>
      <c r="B119" s="139">
        <v>1.6703940520285037</v>
      </c>
      <c r="C119" s="60">
        <f t="shared" si="0"/>
        <v>1.6368</v>
      </c>
      <c r="D119" s="60">
        <f t="shared" si="1"/>
        <v>0.9750743399351377</v>
      </c>
      <c r="E119" s="60">
        <f t="shared" si="2"/>
        <v>0.97457576659720158</v>
      </c>
      <c r="F119" s="60">
        <f t="shared" si="3"/>
        <v>3.6320333432569019E-3</v>
      </c>
      <c r="G119" s="60"/>
      <c r="H119" s="143"/>
      <c r="I119" s="67"/>
      <c r="J119" s="67"/>
      <c r="K119" s="67"/>
      <c r="L119" s="67"/>
      <c r="M119" s="67"/>
      <c r="N119" s="5"/>
      <c r="O119" s="107"/>
      <c r="P119" s="55"/>
      <c r="Q119" s="11"/>
      <c r="R119" s="11"/>
      <c r="S119" s="11"/>
      <c r="T119" s="11"/>
      <c r="U119" s="11"/>
      <c r="V119" s="11"/>
    </row>
    <row r="120" spans="1:22" x14ac:dyDescent="0.2">
      <c r="A120" s="43">
        <v>14295.568359375</v>
      </c>
      <c r="B120" s="139">
        <v>1.6761940520285037</v>
      </c>
      <c r="C120" s="60">
        <f t="shared" si="0"/>
        <v>1.6426000000000001</v>
      </c>
      <c r="D120" s="60">
        <f t="shared" si="1"/>
        <v>0.97846002678235555</v>
      </c>
      <c r="E120" s="60">
        <f t="shared" si="2"/>
        <v>0.97802917534980649</v>
      </c>
      <c r="F120" s="60">
        <f t="shared" si="3"/>
        <v>3.453408752604914E-3</v>
      </c>
      <c r="G120" s="60"/>
      <c r="H120" s="143"/>
      <c r="I120" s="67"/>
      <c r="J120" s="67"/>
      <c r="K120" s="67"/>
      <c r="L120" s="67"/>
      <c r="M120" s="67"/>
      <c r="N120" s="5"/>
      <c r="O120" s="107"/>
      <c r="P120" s="55"/>
      <c r="Q120" s="11"/>
      <c r="R120" s="11"/>
      <c r="S120" s="11"/>
      <c r="T120" s="11"/>
      <c r="U120" s="11"/>
      <c r="V120" s="11"/>
    </row>
    <row r="121" spans="1:22" x14ac:dyDescent="0.2">
      <c r="A121" s="43">
        <v>15595.158203125</v>
      </c>
      <c r="B121" s="139">
        <v>1.6814940520285035</v>
      </c>
      <c r="C121" s="60">
        <f t="shared" si="0"/>
        <v>1.6478999999999999</v>
      </c>
      <c r="D121" s="60">
        <f t="shared" si="1"/>
        <v>0.98155384407377866</v>
      </c>
      <c r="E121" s="60">
        <f t="shared" si="2"/>
        <v>0.98118487645132479</v>
      </c>
      <c r="F121" s="60">
        <f t="shared" si="3"/>
        <v>3.1557011015183045E-3</v>
      </c>
      <c r="G121" s="60"/>
      <c r="H121" s="143"/>
      <c r="I121" s="67"/>
      <c r="J121" s="67"/>
      <c r="K121" s="67"/>
      <c r="L121" s="67"/>
      <c r="M121" s="67"/>
      <c r="N121" s="5"/>
      <c r="O121" s="107"/>
      <c r="P121" s="55"/>
      <c r="Q121" s="11"/>
      <c r="R121" s="11"/>
      <c r="S121" s="11"/>
      <c r="T121" s="11"/>
      <c r="U121" s="11"/>
      <c r="V121" s="11"/>
    </row>
    <row r="122" spans="1:22" x14ac:dyDescent="0.2">
      <c r="A122" s="43">
        <v>17095.025390625</v>
      </c>
      <c r="B122" s="139">
        <v>1.6859940520285037</v>
      </c>
      <c r="C122" s="60">
        <f t="shared" si="0"/>
        <v>1.6524000000000001</v>
      </c>
      <c r="D122" s="60">
        <f t="shared" si="1"/>
        <v>0.98418067007593057</v>
      </c>
      <c r="E122" s="60">
        <f t="shared" si="2"/>
        <v>0.9838642453111045</v>
      </c>
      <c r="F122" s="60">
        <f t="shared" si="3"/>
        <v>2.6793688597797072E-3</v>
      </c>
      <c r="G122" s="60"/>
      <c r="H122" s="143"/>
      <c r="I122" s="67"/>
      <c r="J122" s="67"/>
      <c r="K122" s="67"/>
      <c r="L122" s="67"/>
      <c r="M122" s="67"/>
      <c r="N122" s="5"/>
      <c r="O122" s="107"/>
      <c r="P122" s="55"/>
      <c r="Q122" s="11"/>
      <c r="R122" s="11"/>
      <c r="S122" s="11"/>
      <c r="T122" s="11"/>
      <c r="U122" s="11"/>
      <c r="V122" s="11"/>
    </row>
    <row r="123" spans="1:22" x14ac:dyDescent="0.2">
      <c r="A123" s="43">
        <v>18694.2890625</v>
      </c>
      <c r="B123" s="139">
        <v>1.6901940520285037</v>
      </c>
      <c r="C123" s="60">
        <f t="shared" si="0"/>
        <v>1.6566000000000001</v>
      </c>
      <c r="D123" s="60">
        <f t="shared" si="1"/>
        <v>0.98663237434460549</v>
      </c>
      <c r="E123" s="60">
        <f t="shared" si="2"/>
        <v>0.98636498958023222</v>
      </c>
      <c r="F123" s="60">
        <f t="shared" si="3"/>
        <v>2.5007442691277193E-3</v>
      </c>
      <c r="G123" s="60"/>
      <c r="H123" s="143"/>
      <c r="I123" s="67"/>
      <c r="J123" s="67"/>
      <c r="K123" s="67"/>
      <c r="L123" s="67"/>
      <c r="M123" s="67"/>
      <c r="N123" s="5"/>
      <c r="O123" s="107"/>
      <c r="P123" s="55"/>
      <c r="Q123" s="11"/>
      <c r="R123" s="11"/>
      <c r="S123" s="11"/>
      <c r="T123" s="11"/>
      <c r="U123" s="11"/>
      <c r="V123" s="11"/>
    </row>
    <row r="124" spans="1:22" x14ac:dyDescent="0.2">
      <c r="A124" s="43">
        <v>20392.330078125</v>
      </c>
      <c r="B124" s="139">
        <v>1.6944940520285037</v>
      </c>
      <c r="C124" s="60">
        <f t="shared" si="0"/>
        <v>1.6609</v>
      </c>
      <c r="D124" s="60">
        <f t="shared" si="1"/>
        <v>0.98914245252443944</v>
      </c>
      <c r="E124" s="60">
        <f t="shared" si="2"/>
        <v>0.98892527537957731</v>
      </c>
      <c r="F124" s="60">
        <f t="shared" si="3"/>
        <v>2.5602857993450856E-3</v>
      </c>
      <c r="G124" s="60"/>
      <c r="H124" s="143"/>
      <c r="I124" s="67"/>
      <c r="J124" s="67"/>
      <c r="K124" s="67"/>
      <c r="L124" s="67"/>
      <c r="M124" s="67"/>
      <c r="N124" s="5"/>
      <c r="O124" s="107"/>
      <c r="P124" s="55"/>
      <c r="Q124" s="11"/>
      <c r="R124" s="11"/>
      <c r="S124" s="11"/>
      <c r="T124" s="11"/>
      <c r="U124" s="11"/>
      <c r="V124" s="11"/>
    </row>
    <row r="125" spans="1:22" x14ac:dyDescent="0.2">
      <c r="A125" s="43">
        <v>22294.09765625</v>
      </c>
      <c r="B125" s="139">
        <v>1.6979940520285037</v>
      </c>
      <c r="C125" s="60">
        <f t="shared" si="0"/>
        <v>1.6644000000000001</v>
      </c>
      <c r="D125" s="60">
        <f t="shared" si="1"/>
        <v>0.99118553941500187</v>
      </c>
      <c r="E125" s="60">
        <f t="shared" si="2"/>
        <v>0.99100922893718379</v>
      </c>
      <c r="F125" s="60">
        <f t="shared" si="3"/>
        <v>2.0839535576064883E-3</v>
      </c>
      <c r="G125" s="60"/>
      <c r="H125" s="143"/>
      <c r="I125" s="67"/>
      <c r="J125" s="67"/>
      <c r="K125" s="67"/>
      <c r="L125" s="67"/>
      <c r="M125" s="67"/>
      <c r="N125" s="5"/>
      <c r="O125" s="107"/>
      <c r="P125" s="55"/>
      <c r="Q125" s="11"/>
      <c r="R125" s="11"/>
      <c r="S125" s="11"/>
      <c r="T125" s="11"/>
      <c r="U125" s="11"/>
      <c r="V125" s="11"/>
    </row>
    <row r="126" spans="1:22" x14ac:dyDescent="0.2">
      <c r="A126" s="43">
        <v>24394.755859375</v>
      </c>
      <c r="B126" s="139">
        <v>1.7015940520285036</v>
      </c>
      <c r="C126" s="60">
        <f t="shared" si="0"/>
        <v>1.6679999999999999</v>
      </c>
      <c r="D126" s="60">
        <f t="shared" si="1"/>
        <v>0.99328700021672323</v>
      </c>
      <c r="E126" s="60">
        <f t="shared" si="2"/>
        <v>0.99315272402500743</v>
      </c>
      <c r="F126" s="60">
        <f t="shared" si="3"/>
        <v>2.1434950878236325E-3</v>
      </c>
      <c r="G126" s="60"/>
      <c r="H126" s="143"/>
      <c r="I126" s="67"/>
      <c r="J126" s="67"/>
      <c r="K126" s="67"/>
      <c r="L126" s="67"/>
      <c r="M126" s="67"/>
      <c r="N126" s="5"/>
      <c r="O126" s="107"/>
      <c r="P126" s="55"/>
      <c r="Q126" s="11"/>
      <c r="R126" s="11"/>
      <c r="S126" s="11"/>
      <c r="T126" s="11"/>
      <c r="U126" s="11"/>
      <c r="V126" s="11"/>
    </row>
    <row r="127" spans="1:22" x14ac:dyDescent="0.2">
      <c r="A127" s="43">
        <v>26695.763671875</v>
      </c>
      <c r="B127" s="139">
        <v>1.7048940520285036</v>
      </c>
      <c r="C127" s="60">
        <f t="shared" si="0"/>
        <v>1.6713</v>
      </c>
      <c r="D127" s="60">
        <f t="shared" si="1"/>
        <v>0.99521333928496791</v>
      </c>
      <c r="E127" s="60">
        <f t="shared" si="2"/>
        <v>0.99511759452217918</v>
      </c>
      <c r="F127" s="60">
        <f t="shared" si="3"/>
        <v>1.9648704971717557E-3</v>
      </c>
      <c r="G127" s="60"/>
      <c r="H127" s="143"/>
      <c r="I127" s="67"/>
      <c r="J127" s="67"/>
      <c r="K127" s="67"/>
      <c r="L127" s="67"/>
      <c r="M127" s="67"/>
      <c r="N127" s="5"/>
      <c r="O127" s="107"/>
      <c r="P127" s="55"/>
      <c r="Q127" s="11"/>
      <c r="R127" s="11"/>
      <c r="S127" s="11"/>
      <c r="T127" s="11"/>
      <c r="U127" s="11"/>
      <c r="V127" s="11"/>
    </row>
    <row r="128" spans="1:22" x14ac:dyDescent="0.2">
      <c r="A128" s="43">
        <v>29295.09375</v>
      </c>
      <c r="B128" s="139">
        <v>1.7055940520285036</v>
      </c>
      <c r="C128" s="60">
        <f t="shared" si="0"/>
        <v>1.6719999999999999</v>
      </c>
      <c r="D128" s="60">
        <f t="shared" si="1"/>
        <v>0.9956219566630804</v>
      </c>
      <c r="E128" s="60">
        <f t="shared" si="2"/>
        <v>0.99553438523370041</v>
      </c>
      <c r="F128" s="60">
        <f t="shared" si="3"/>
        <v>4.1679071152123104E-4</v>
      </c>
      <c r="G128" s="60"/>
      <c r="H128" s="143"/>
      <c r="I128" s="67"/>
      <c r="J128" s="67"/>
      <c r="K128" s="67"/>
      <c r="L128" s="67"/>
      <c r="M128" s="67"/>
      <c r="N128" s="5"/>
      <c r="O128" s="107"/>
      <c r="P128" s="55"/>
      <c r="Q128" s="11"/>
      <c r="R128" s="11"/>
      <c r="S128" s="11"/>
      <c r="T128" s="11"/>
      <c r="U128" s="11"/>
      <c r="V128" s="11"/>
    </row>
    <row r="129" spans="1:23" x14ac:dyDescent="0.2">
      <c r="A129" s="43">
        <v>31989.87109375</v>
      </c>
      <c r="B129" s="139">
        <v>1.7085940520285037</v>
      </c>
      <c r="C129" s="60">
        <f t="shared" si="0"/>
        <v>1.675</v>
      </c>
      <c r="D129" s="60">
        <f t="shared" si="1"/>
        <v>0.99737317399784831</v>
      </c>
      <c r="E129" s="60">
        <f t="shared" si="2"/>
        <v>0.99732063114022029</v>
      </c>
      <c r="F129" s="60">
        <f t="shared" si="3"/>
        <v>1.7862459065198788E-3</v>
      </c>
      <c r="G129" s="60"/>
      <c r="H129" s="143"/>
      <c r="I129" s="67"/>
      <c r="J129" s="67"/>
      <c r="K129" s="67"/>
      <c r="L129" s="67"/>
      <c r="M129" s="67"/>
      <c r="N129" s="5"/>
      <c r="O129" s="107"/>
      <c r="P129" s="55"/>
      <c r="Q129" s="11"/>
      <c r="R129" s="11"/>
      <c r="S129" s="11"/>
      <c r="T129" s="11"/>
      <c r="U129" s="11"/>
      <c r="V129" s="11"/>
    </row>
    <row r="130" spans="1:23" x14ac:dyDescent="0.2">
      <c r="A130" s="43">
        <v>34986.37890625</v>
      </c>
      <c r="B130" s="139">
        <v>1.7094940520285036</v>
      </c>
      <c r="C130" s="60">
        <f t="shared" si="0"/>
        <v>1.6758999999999999</v>
      </c>
      <c r="D130" s="60">
        <f t="shared" si="1"/>
        <v>0.99789853919827853</v>
      </c>
      <c r="E130" s="60">
        <f t="shared" si="2"/>
        <v>0.99785650491217626</v>
      </c>
      <c r="F130" s="60">
        <f t="shared" si="3"/>
        <v>5.3587377195596364E-4</v>
      </c>
      <c r="G130" s="60"/>
      <c r="H130" s="143"/>
      <c r="I130" s="67"/>
      <c r="J130" s="67"/>
      <c r="K130" s="67"/>
      <c r="L130" s="67"/>
      <c r="M130" s="67"/>
      <c r="N130" s="5"/>
      <c r="O130" s="107"/>
      <c r="P130" s="55"/>
      <c r="Q130" s="11"/>
      <c r="R130" s="11"/>
      <c r="S130" s="11"/>
      <c r="T130" s="11"/>
      <c r="U130" s="11"/>
      <c r="V130" s="11"/>
    </row>
    <row r="131" spans="1:23" x14ac:dyDescent="0.2">
      <c r="A131" s="43">
        <v>38281.48046875</v>
      </c>
      <c r="B131" s="139">
        <v>1.7107940520285037</v>
      </c>
      <c r="C131" s="60">
        <f t="shared" si="0"/>
        <v>1.6772</v>
      </c>
      <c r="D131" s="60">
        <f t="shared" si="1"/>
        <v>0.99865740004334469</v>
      </c>
      <c r="E131" s="60">
        <f t="shared" si="2"/>
        <v>0.99863054480500146</v>
      </c>
      <c r="F131" s="60">
        <f t="shared" si="3"/>
        <v>7.740398928252068E-4</v>
      </c>
      <c r="G131" s="60"/>
      <c r="H131" s="143"/>
      <c r="I131" s="67"/>
      <c r="J131" s="67"/>
      <c r="K131" s="67"/>
      <c r="L131" s="67"/>
      <c r="M131" s="67"/>
      <c r="N131" s="5"/>
      <c r="O131" s="107"/>
      <c r="P131" s="55"/>
      <c r="Q131" s="11"/>
      <c r="R131" s="11"/>
      <c r="S131" s="11"/>
      <c r="T131" s="11"/>
      <c r="U131" s="11"/>
      <c r="V131" s="11"/>
    </row>
    <row r="132" spans="1:23" x14ac:dyDescent="0.2">
      <c r="A132" s="43">
        <v>41877.9609375</v>
      </c>
      <c r="B132" s="139">
        <v>1.7115940520285036</v>
      </c>
      <c r="C132" s="60">
        <f t="shared" si="0"/>
        <v>1.6779999999999999</v>
      </c>
      <c r="D132" s="60">
        <f t="shared" si="1"/>
        <v>0.99912439133261599</v>
      </c>
      <c r="E132" s="60">
        <f t="shared" si="2"/>
        <v>0.99910687704674006</v>
      </c>
      <c r="F132" s="60">
        <f t="shared" si="3"/>
        <v>4.7633224173859734E-4</v>
      </c>
      <c r="G132" s="60"/>
      <c r="H132" s="143"/>
      <c r="I132" s="67"/>
      <c r="J132" s="67"/>
      <c r="K132" s="67"/>
      <c r="L132" s="67"/>
      <c r="M132" s="67"/>
      <c r="N132" s="5"/>
      <c r="O132" s="107"/>
      <c r="P132" s="55"/>
      <c r="Q132" s="11"/>
      <c r="R132" s="11"/>
      <c r="S132" s="11"/>
      <c r="T132" s="11"/>
      <c r="U132" s="11"/>
      <c r="V132" s="11"/>
    </row>
    <row r="133" spans="1:23" x14ac:dyDescent="0.2">
      <c r="A133" s="43">
        <v>45774.84375</v>
      </c>
      <c r="B133" s="139">
        <v>1.7121940520285037</v>
      </c>
      <c r="C133" s="60">
        <f t="shared" si="0"/>
        <v>1.6786000000000001</v>
      </c>
      <c r="D133" s="60">
        <f t="shared" si="1"/>
        <v>0.99947463479956966</v>
      </c>
      <c r="E133" s="60">
        <f t="shared" si="2"/>
        <v>0.99946412622804415</v>
      </c>
      <c r="F133" s="60">
        <f t="shared" si="3"/>
        <v>3.5724918130408678E-4</v>
      </c>
      <c r="G133" s="60"/>
      <c r="H133" s="143"/>
      <c r="I133" s="67"/>
      <c r="J133" s="67"/>
      <c r="K133" s="67"/>
      <c r="L133" s="67"/>
      <c r="M133" s="67"/>
      <c r="N133" s="5"/>
      <c r="O133" s="107"/>
      <c r="P133" s="55"/>
      <c r="Q133" s="11"/>
      <c r="R133" s="11"/>
      <c r="S133" s="11"/>
      <c r="T133" s="11"/>
      <c r="U133" s="11"/>
      <c r="V133" s="11"/>
    </row>
    <row r="134" spans="1:23" x14ac:dyDescent="0.2">
      <c r="A134" s="43">
        <v>50072.640625</v>
      </c>
      <c r="B134" s="139">
        <v>1.7128940520285036</v>
      </c>
      <c r="C134" s="60">
        <f t="shared" si="0"/>
        <v>1.6793</v>
      </c>
      <c r="D134" s="60">
        <f t="shared" si="1"/>
        <v>0.99988325217768215</v>
      </c>
      <c r="E134" s="60">
        <f t="shared" si="2"/>
        <v>0.99988091693956538</v>
      </c>
      <c r="F134" s="60">
        <f t="shared" si="3"/>
        <v>4.1679071152123104E-4</v>
      </c>
      <c r="G134" s="60"/>
      <c r="H134" s="143"/>
      <c r="I134" s="67"/>
      <c r="J134" s="67"/>
      <c r="K134" s="67"/>
      <c r="L134" s="67"/>
      <c r="M134" s="67"/>
      <c r="N134" s="5"/>
      <c r="O134" s="107"/>
      <c r="P134" s="55"/>
      <c r="Q134" s="11"/>
      <c r="R134" s="11"/>
      <c r="S134" s="11"/>
      <c r="T134" s="11"/>
      <c r="U134" s="11"/>
      <c r="V134" s="11"/>
    </row>
    <row r="135" spans="1:23" x14ac:dyDescent="0.2">
      <c r="A135" s="43">
        <v>54763.51953125</v>
      </c>
      <c r="B135" s="139">
        <v>1.7128940520285036</v>
      </c>
      <c r="C135" s="60">
        <f t="shared" si="0"/>
        <v>1.6793</v>
      </c>
      <c r="D135" s="60">
        <f t="shared" si="1"/>
        <v>0.99988325217768215</v>
      </c>
      <c r="E135" s="60">
        <f t="shared" si="2"/>
        <v>0.99988091693956538</v>
      </c>
      <c r="F135" s="60">
        <f t="shared" si="3"/>
        <v>0</v>
      </c>
      <c r="G135" s="60"/>
      <c r="H135" s="143"/>
      <c r="I135" s="67"/>
      <c r="J135" s="67"/>
      <c r="K135" s="67"/>
      <c r="L135" s="67"/>
      <c r="M135" s="67"/>
      <c r="N135" s="5"/>
      <c r="O135" s="107"/>
      <c r="P135" s="55"/>
      <c r="Q135" s="11"/>
      <c r="R135" s="11"/>
      <c r="S135" s="11"/>
      <c r="T135" s="11"/>
      <c r="U135" s="11"/>
      <c r="V135" s="11"/>
    </row>
    <row r="136" spans="1:23" x14ac:dyDescent="0.2">
      <c r="A136" s="43">
        <v>59436.02734375</v>
      </c>
      <c r="B136" s="139">
        <v>1.7130940520285036</v>
      </c>
      <c r="C136" s="60">
        <f t="shared" si="0"/>
        <v>1.6795</v>
      </c>
      <c r="D136" s="60">
        <f t="shared" si="1"/>
        <v>1</v>
      </c>
      <c r="E136" s="60">
        <f t="shared" si="2"/>
        <v>1</v>
      </c>
      <c r="F136" s="60">
        <f t="shared" si="3"/>
        <v>1.1908306043462158E-4</v>
      </c>
      <c r="G136" s="60"/>
      <c r="H136" s="135"/>
      <c r="I136" s="43"/>
      <c r="J136" s="43"/>
      <c r="K136" s="43"/>
      <c r="L136" s="43"/>
      <c r="M136" s="43"/>
      <c r="P136" s="55"/>
      <c r="Q136" s="11"/>
      <c r="R136" s="11"/>
      <c r="S136" s="11"/>
      <c r="T136" s="11"/>
      <c r="U136" s="11"/>
      <c r="V136" s="11"/>
    </row>
    <row r="137" spans="1:23" x14ac:dyDescent="0.2">
      <c r="A137" s="43"/>
      <c r="B137" s="139"/>
      <c r="C137" s="60"/>
      <c r="D137" s="60"/>
      <c r="E137" s="60"/>
      <c r="F137" s="60"/>
      <c r="G137" s="60"/>
      <c r="H137" s="135"/>
      <c r="I137" s="43"/>
      <c r="J137" s="43"/>
      <c r="K137" s="43"/>
      <c r="L137" s="43"/>
      <c r="M137" s="43"/>
      <c r="P137" s="122"/>
      <c r="Q137" s="11"/>
      <c r="R137" s="11"/>
      <c r="S137" s="11"/>
      <c r="T137" s="11"/>
      <c r="U137" s="11"/>
      <c r="V137" s="11"/>
    </row>
    <row r="138" spans="1:23" x14ac:dyDescent="0.2">
      <c r="A138" s="43"/>
      <c r="B138" s="139"/>
      <c r="C138" s="60"/>
      <c r="D138" s="60"/>
      <c r="E138" s="60"/>
      <c r="F138" s="60"/>
      <c r="G138" s="60"/>
      <c r="H138" s="135"/>
      <c r="I138" s="43"/>
      <c r="J138" s="43"/>
      <c r="K138" s="43"/>
      <c r="L138" s="43"/>
      <c r="M138" s="43"/>
      <c r="P138" s="122"/>
      <c r="Q138" s="11"/>
      <c r="R138" s="11"/>
      <c r="S138" s="11"/>
      <c r="T138" s="11"/>
      <c r="U138" s="11"/>
      <c r="V138" s="11"/>
    </row>
    <row r="139" spans="1:23" x14ac:dyDescent="0.2">
      <c r="A139" s="43"/>
      <c r="B139" s="139"/>
      <c r="C139" s="60"/>
      <c r="D139" s="60"/>
      <c r="E139" s="60"/>
      <c r="F139" s="60"/>
      <c r="G139" s="60"/>
      <c r="H139" s="135"/>
      <c r="I139" s="43"/>
      <c r="J139" s="43"/>
      <c r="K139" s="43"/>
      <c r="L139" s="43"/>
      <c r="M139" s="43"/>
      <c r="P139" s="122"/>
      <c r="Q139" s="11"/>
      <c r="R139" s="11"/>
      <c r="S139" s="11"/>
      <c r="T139" s="11"/>
      <c r="U139" s="11"/>
      <c r="V139" s="11"/>
    </row>
    <row r="140" spans="1:23" x14ac:dyDescent="0.2">
      <c r="A140" s="43"/>
      <c r="B140" s="139"/>
      <c r="C140" s="60"/>
      <c r="D140" s="60"/>
      <c r="E140" s="60"/>
      <c r="F140" s="60"/>
      <c r="G140" s="60"/>
      <c r="H140" s="135"/>
      <c r="I140" s="43"/>
      <c r="J140" s="43"/>
      <c r="K140" s="43"/>
      <c r="L140" s="43"/>
      <c r="M140" s="43"/>
      <c r="P140" s="122"/>
      <c r="Q140" s="11"/>
      <c r="R140" s="11"/>
      <c r="S140" s="11"/>
      <c r="T140" s="11"/>
      <c r="U140" s="11"/>
      <c r="V140" s="11"/>
    </row>
    <row r="141" spans="1:23" x14ac:dyDescent="0.2">
      <c r="A141" s="43"/>
      <c r="B141" s="139"/>
      <c r="C141" s="60"/>
      <c r="D141" s="60"/>
      <c r="E141" s="60"/>
      <c r="F141" s="60"/>
      <c r="G141" s="60"/>
      <c r="H141" s="60"/>
      <c r="I141" s="60"/>
      <c r="J141" s="60"/>
      <c r="K141" s="60"/>
      <c r="L141" s="60"/>
      <c r="M141" s="60"/>
      <c r="N141" s="60"/>
      <c r="O141" s="135"/>
      <c r="P141" s="43"/>
      <c r="Q141" s="43"/>
      <c r="R141" s="43"/>
      <c r="S141" s="43"/>
      <c r="T141" s="43"/>
      <c r="W141" s="122"/>
    </row>
  </sheetData>
  <mergeCells count="7">
    <mergeCell ref="A5:M5"/>
    <mergeCell ref="I32:J32"/>
    <mergeCell ref="I33:J33"/>
    <mergeCell ref="I34:J34"/>
    <mergeCell ref="K32:L32"/>
    <mergeCell ref="K33:L33"/>
    <mergeCell ref="K34:L34"/>
  </mergeCells>
  <printOptions horizontalCentered="1"/>
  <pageMargins left="0.5" right="0.5" top="0.1" bottom="0.25" header="0" footer="0"/>
  <pageSetup scale="65" orientation="portrait"/>
  <rowBreaks count="2" manualBreakCount="2">
    <brk id="86" max="12" man="1"/>
    <brk id="162" max="12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showGridLines="0" workbookViewId="0">
      <selection activeCell="O4" sqref="O4"/>
    </sheetView>
  </sheetViews>
  <sheetFormatPr defaultColWidth="8.85546875" defaultRowHeight="12.75" x14ac:dyDescent="0.2"/>
  <cols>
    <col min="1" max="17" width="8.140625" style="89" customWidth="1"/>
    <col min="18" max="16384" width="8.85546875" style="89"/>
  </cols>
  <sheetData>
    <row r="1" spans="1:15" ht="15.75" x14ac:dyDescent="0.25">
      <c r="C1" s="160" t="s">
        <v>11</v>
      </c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73"/>
      <c r="O1" s="73"/>
    </row>
    <row r="2" spans="1:15" x14ac:dyDescent="0.2">
      <c r="C2" s="109" t="str">
        <f>Table!A7</f>
        <v>NordAq Energy Inc.</v>
      </c>
      <c r="K2" s="154" t="str">
        <f>Table!L7</f>
        <v>Sample Number:</v>
      </c>
      <c r="N2" s="68"/>
      <c r="O2" s="125" t="str">
        <f>Table!$P$7</f>
        <v>10</v>
      </c>
    </row>
    <row r="3" spans="1:15" x14ac:dyDescent="0.2">
      <c r="C3" s="109" t="str">
        <f>Table!A8</f>
        <v>East Simpson No. 2 (USGS/Husky 1980)</v>
      </c>
      <c r="K3" s="154" t="str">
        <f>Table!L8</f>
        <v>Sample Depth, m:</v>
      </c>
      <c r="N3" s="142"/>
      <c r="O3" s="108">
        <f>Table!$P$8</f>
        <v>6075.4</v>
      </c>
    </row>
    <row r="4" spans="1:15" x14ac:dyDescent="0.2">
      <c r="C4" s="109" t="str">
        <f>Table!A9</f>
        <v>Torok Sandstones Formation</v>
      </c>
      <c r="K4" s="154" t="str">
        <f>Table!L9</f>
        <v>Permeability to Air (calc), mD:</v>
      </c>
      <c r="M4" s="152"/>
      <c r="N4" s="137"/>
      <c r="O4" s="30">
        <f>Table!$P$9</f>
        <v>1.5306938498301241</v>
      </c>
    </row>
    <row r="5" spans="1:15" x14ac:dyDescent="0.2">
      <c r="C5" s="109" t="str">
        <f>Table!A10</f>
        <v>HH-61176</v>
      </c>
      <c r="D5" s="147"/>
      <c r="E5" s="147"/>
      <c r="F5" s="30"/>
      <c r="G5" s="147"/>
      <c r="K5" s="154" t="str">
        <f>Table!L10</f>
        <v>Porosity, fraction:</v>
      </c>
      <c r="M5" s="152"/>
      <c r="N5" s="137"/>
      <c r="O5" s="2">
        <f>Table!$P$10</f>
        <v>0.15669867858216641</v>
      </c>
    </row>
    <row r="6" spans="1:15" x14ac:dyDescent="0.2">
      <c r="A6" s="152"/>
      <c r="C6" s="109"/>
      <c r="D6" s="8"/>
      <c r="E6" s="8"/>
      <c r="F6" s="8"/>
      <c r="G6" s="152"/>
      <c r="K6" s="154" t="str">
        <f>Table!L11</f>
        <v>Grain Density, grams/cc:</v>
      </c>
      <c r="M6" s="8"/>
      <c r="N6" s="149"/>
      <c r="O6" s="30">
        <f>Table!$P$11</f>
        <v>2.674994653644446</v>
      </c>
    </row>
    <row r="7" spans="1:15" x14ac:dyDescent="0.2">
      <c r="B7" s="109"/>
      <c r="D7" s="152"/>
      <c r="E7" s="152"/>
      <c r="I7" s="154"/>
      <c r="K7" s="8"/>
      <c r="L7" s="128"/>
      <c r="M7" s="79"/>
    </row>
    <row r="8" spans="1:15" x14ac:dyDescent="0.2">
      <c r="B8" s="109"/>
      <c r="D8" s="152"/>
      <c r="E8" s="152"/>
      <c r="I8" s="154"/>
      <c r="K8" s="8"/>
      <c r="L8" s="128"/>
      <c r="M8" s="79"/>
    </row>
    <row r="9" spans="1:15" ht="12" customHeight="1" x14ac:dyDescent="0.2">
      <c r="B9" s="152"/>
      <c r="C9" s="152"/>
      <c r="D9" s="152"/>
      <c r="E9" s="152"/>
      <c r="F9" s="152"/>
    </row>
    <row r="10" spans="1:15" x14ac:dyDescent="0.2">
      <c r="B10" s="152"/>
      <c r="C10" s="152"/>
      <c r="D10" s="152"/>
      <c r="E10" s="152"/>
      <c r="F10" s="152"/>
      <c r="K10" s="8"/>
      <c r="L10" s="128"/>
    </row>
    <row r="11" spans="1:15" x14ac:dyDescent="0.2">
      <c r="B11" s="152"/>
      <c r="C11" s="152"/>
      <c r="D11" s="8"/>
      <c r="E11" s="152"/>
      <c r="F11" s="152"/>
      <c r="K11" s="8"/>
      <c r="L11" s="128"/>
    </row>
    <row r="12" spans="1:15" x14ac:dyDescent="0.2">
      <c r="B12" s="152"/>
      <c r="C12" s="152"/>
      <c r="D12" s="8"/>
      <c r="E12" s="152"/>
      <c r="F12" s="152"/>
      <c r="G12" s="154"/>
      <c r="H12" s="152"/>
      <c r="I12" s="152"/>
      <c r="J12" s="2"/>
      <c r="K12" s="8"/>
      <c r="L12" s="128"/>
    </row>
    <row r="13" spans="1:15" x14ac:dyDescent="0.2">
      <c r="A13" s="109"/>
      <c r="B13" s="152"/>
      <c r="C13" s="152"/>
      <c r="D13" s="152"/>
      <c r="E13" s="152"/>
      <c r="F13" s="152"/>
      <c r="G13" s="152"/>
      <c r="H13" s="152"/>
      <c r="I13" s="137"/>
      <c r="J13" s="8"/>
      <c r="K13" s="8"/>
      <c r="L13" s="128"/>
    </row>
    <row r="14" spans="1:15" x14ac:dyDescent="0.2">
      <c r="A14" s="23"/>
      <c r="B14" s="23"/>
      <c r="C14" s="23"/>
      <c r="D14" s="23"/>
      <c r="E14" s="23"/>
      <c r="F14" s="23"/>
      <c r="G14" s="23"/>
      <c r="H14" s="23"/>
      <c r="I14" s="23"/>
      <c r="J14" s="23"/>
      <c r="K14" s="8"/>
      <c r="L14" s="128"/>
    </row>
    <row r="15" spans="1:15" x14ac:dyDescent="0.2">
      <c r="A15" s="23"/>
      <c r="B15" s="23"/>
      <c r="C15" s="23"/>
      <c r="D15" s="23"/>
      <c r="E15" s="23"/>
      <c r="F15" s="23"/>
      <c r="G15" s="23"/>
      <c r="H15" s="23"/>
      <c r="I15" s="23"/>
      <c r="J15" s="23"/>
      <c r="K15" s="152"/>
      <c r="L15" s="128"/>
    </row>
    <row r="16" spans="1:15" x14ac:dyDescent="0.2">
      <c r="A16" s="23"/>
      <c r="B16" s="23"/>
      <c r="C16" s="23"/>
      <c r="D16" s="23"/>
      <c r="E16" s="23"/>
      <c r="F16" s="23"/>
      <c r="G16" s="23"/>
      <c r="H16" s="23"/>
      <c r="I16" s="23"/>
      <c r="J16" s="23"/>
      <c r="K16" s="152"/>
      <c r="L16" s="128"/>
    </row>
    <row r="17" spans="1:12" x14ac:dyDescent="0.2">
      <c r="A17" s="94"/>
      <c r="B17" s="94"/>
      <c r="C17" s="94"/>
      <c r="D17" s="94"/>
      <c r="E17" s="94"/>
      <c r="F17" s="94"/>
      <c r="G17" s="94"/>
      <c r="H17" s="94"/>
      <c r="I17" s="94"/>
      <c r="J17" s="94"/>
      <c r="K17" s="152"/>
      <c r="L17" s="55"/>
    </row>
    <row r="18" spans="1:12" x14ac:dyDescent="0.2">
      <c r="A18" s="122"/>
      <c r="B18" s="61"/>
      <c r="C18" s="61"/>
      <c r="D18" s="26"/>
      <c r="E18" s="59"/>
      <c r="F18" s="86"/>
      <c r="G18" s="86"/>
      <c r="H18" s="86"/>
      <c r="I18" s="86"/>
      <c r="J18" s="86"/>
      <c r="K18" s="152"/>
      <c r="L18" s="55"/>
    </row>
    <row r="19" spans="1:12" x14ac:dyDescent="0.2">
      <c r="A19" s="106"/>
      <c r="B19" s="61"/>
      <c r="C19" s="61"/>
      <c r="D19" s="26"/>
      <c r="E19" s="59"/>
      <c r="F19" s="86"/>
      <c r="G19" s="86"/>
      <c r="H19" s="86"/>
      <c r="I19" s="86"/>
      <c r="J19" s="86"/>
      <c r="K19" s="152"/>
      <c r="L19" s="55"/>
    </row>
    <row r="20" spans="1:12" x14ac:dyDescent="0.2">
      <c r="A20" s="106"/>
      <c r="B20" s="61"/>
      <c r="C20" s="61"/>
      <c r="D20" s="26"/>
      <c r="E20" s="59"/>
      <c r="F20" s="86"/>
      <c r="G20" s="86"/>
      <c r="H20" s="86"/>
      <c r="I20" s="86"/>
      <c r="J20" s="86"/>
      <c r="K20" s="152"/>
      <c r="L20" s="94"/>
    </row>
    <row r="21" spans="1:12" x14ac:dyDescent="0.2">
      <c r="A21" s="106"/>
      <c r="B21" s="61"/>
      <c r="C21" s="61"/>
      <c r="D21" s="26"/>
      <c r="E21" s="59"/>
      <c r="F21" s="86"/>
      <c r="G21" s="86"/>
      <c r="H21" s="86"/>
      <c r="I21" s="86"/>
      <c r="J21" s="86"/>
      <c r="K21" s="152"/>
      <c r="L21" s="151"/>
    </row>
    <row r="22" spans="1:12" x14ac:dyDescent="0.2">
      <c r="A22" s="106"/>
      <c r="B22" s="61"/>
      <c r="C22" s="61"/>
      <c r="D22" s="26"/>
      <c r="E22" s="59"/>
      <c r="F22" s="86"/>
      <c r="G22" s="86"/>
      <c r="H22" s="86"/>
      <c r="I22" s="86"/>
      <c r="J22" s="86"/>
      <c r="K22" s="152"/>
      <c r="L22" s="151"/>
    </row>
    <row r="23" spans="1:12" x14ac:dyDescent="0.2">
      <c r="A23" s="106"/>
      <c r="B23" s="61"/>
      <c r="C23" s="61"/>
      <c r="D23" s="26"/>
      <c r="E23" s="59"/>
      <c r="F23" s="86"/>
      <c r="G23" s="86"/>
      <c r="H23" s="86"/>
      <c r="I23" s="86"/>
      <c r="J23" s="86"/>
      <c r="K23" s="152"/>
      <c r="L23" s="151"/>
    </row>
    <row r="24" spans="1:12" x14ac:dyDescent="0.2">
      <c r="A24" s="115"/>
      <c r="B24" s="61"/>
      <c r="C24" s="61"/>
      <c r="D24" s="26"/>
      <c r="E24" s="59"/>
      <c r="F24" s="86"/>
      <c r="G24" s="86"/>
      <c r="H24" s="86"/>
      <c r="I24" s="86"/>
      <c r="J24" s="86"/>
      <c r="K24" s="152"/>
      <c r="L24" s="151"/>
    </row>
    <row r="25" spans="1:12" x14ac:dyDescent="0.2">
      <c r="A25" s="115"/>
      <c r="B25" s="61"/>
      <c r="C25" s="61"/>
      <c r="D25" s="26"/>
      <c r="E25" s="59"/>
      <c r="F25" s="86"/>
      <c r="G25" s="86"/>
      <c r="H25" s="86"/>
      <c r="I25" s="86"/>
      <c r="J25" s="86"/>
      <c r="K25" s="152"/>
      <c r="L25" s="151"/>
    </row>
    <row r="26" spans="1:12" x14ac:dyDescent="0.2">
      <c r="A26" s="115"/>
      <c r="B26" s="61"/>
      <c r="C26" s="61"/>
      <c r="D26" s="26"/>
      <c r="E26" s="59"/>
      <c r="F26" s="86"/>
      <c r="G26" s="86"/>
      <c r="H26" s="86"/>
      <c r="I26" s="86"/>
      <c r="J26" s="86"/>
      <c r="K26" s="152"/>
      <c r="L26" s="151"/>
    </row>
    <row r="27" spans="1:12" ht="15.75" customHeight="1" x14ac:dyDescent="0.2">
      <c r="A27" s="115"/>
      <c r="B27" s="61"/>
      <c r="C27" s="61"/>
      <c r="D27" s="26"/>
      <c r="E27" s="59"/>
      <c r="F27" s="86"/>
      <c r="G27" s="86"/>
      <c r="H27" s="86"/>
      <c r="I27" s="86"/>
      <c r="J27" s="86"/>
      <c r="K27" s="152"/>
      <c r="L27" s="151"/>
    </row>
    <row r="28" spans="1:12" x14ac:dyDescent="0.2">
      <c r="A28" s="115"/>
      <c r="B28" s="61"/>
      <c r="C28" s="61"/>
      <c r="D28" s="26"/>
      <c r="E28" s="59"/>
      <c r="F28" s="86"/>
      <c r="G28" s="86"/>
      <c r="H28" s="86"/>
      <c r="I28" s="86"/>
      <c r="J28" s="86"/>
      <c r="K28" s="152"/>
      <c r="L28" s="151"/>
    </row>
    <row r="29" spans="1:12" x14ac:dyDescent="0.2">
      <c r="A29" s="118"/>
      <c r="B29" s="61"/>
      <c r="C29" s="61"/>
      <c r="D29" s="26"/>
      <c r="E29" s="59"/>
      <c r="F29" s="86"/>
      <c r="G29" s="86"/>
      <c r="H29" s="86"/>
      <c r="I29" s="86"/>
      <c r="J29" s="86"/>
      <c r="K29" s="152"/>
      <c r="L29" s="151"/>
    </row>
    <row r="30" spans="1:12" x14ac:dyDescent="0.2">
      <c r="A30" s="118"/>
      <c r="B30" s="61"/>
      <c r="C30" s="61"/>
      <c r="D30" s="26"/>
      <c r="E30" s="59"/>
      <c r="F30" s="86"/>
      <c r="G30" s="86"/>
      <c r="H30" s="86"/>
      <c r="I30" s="86"/>
      <c r="J30" s="86"/>
      <c r="K30" s="152"/>
      <c r="L30" s="151"/>
    </row>
    <row r="31" spans="1:12" x14ac:dyDescent="0.2">
      <c r="A31" s="118"/>
      <c r="B31" s="61"/>
      <c r="C31" s="61"/>
      <c r="D31" s="26"/>
      <c r="E31" s="59"/>
      <c r="F31" s="86"/>
      <c r="G31" s="86"/>
      <c r="H31" s="86"/>
      <c r="I31" s="86"/>
      <c r="J31" s="86"/>
      <c r="K31" s="152"/>
      <c r="L31" s="151"/>
    </row>
    <row r="32" spans="1:12" x14ac:dyDescent="0.2">
      <c r="A32" s="118"/>
      <c r="B32" s="61"/>
      <c r="C32" s="61"/>
      <c r="D32" s="26"/>
      <c r="E32" s="59"/>
      <c r="F32" s="86"/>
      <c r="G32" s="86"/>
      <c r="H32" s="86"/>
      <c r="I32" s="86"/>
      <c r="J32" s="86"/>
      <c r="K32" s="152"/>
      <c r="L32" s="151"/>
    </row>
    <row r="33" spans="1:12" x14ac:dyDescent="0.2">
      <c r="A33" s="118"/>
      <c r="B33" s="61"/>
      <c r="C33" s="61"/>
      <c r="D33" s="26"/>
      <c r="E33" s="59"/>
      <c r="F33" s="86"/>
      <c r="G33" s="86"/>
      <c r="H33" s="86"/>
      <c r="I33" s="86"/>
      <c r="J33" s="86"/>
      <c r="K33" s="152"/>
      <c r="L33" s="151"/>
    </row>
    <row r="34" spans="1:12" x14ac:dyDescent="0.2">
      <c r="A34" s="16"/>
      <c r="B34" s="61"/>
      <c r="C34" s="61"/>
      <c r="D34" s="26"/>
      <c r="E34" s="59"/>
      <c r="F34" s="86"/>
      <c r="G34" s="86"/>
      <c r="H34" s="86"/>
      <c r="I34" s="86"/>
      <c r="J34" s="86"/>
      <c r="K34" s="152"/>
      <c r="L34" s="151"/>
    </row>
    <row r="35" spans="1:12" x14ac:dyDescent="0.2">
      <c r="A35" s="16"/>
      <c r="B35" s="61"/>
      <c r="C35" s="61"/>
      <c r="D35" s="26"/>
      <c r="E35" s="59"/>
      <c r="F35" s="86"/>
      <c r="G35" s="86"/>
      <c r="H35" s="86"/>
      <c r="I35" s="86"/>
      <c r="J35" s="86"/>
      <c r="K35" s="152"/>
      <c r="L35" s="151"/>
    </row>
    <row r="36" spans="1:12" x14ac:dyDescent="0.2">
      <c r="A36" s="16"/>
      <c r="B36" s="61"/>
      <c r="C36" s="61"/>
      <c r="D36" s="26"/>
      <c r="E36" s="59"/>
      <c r="F36" s="86"/>
      <c r="G36" s="86"/>
      <c r="H36" s="86"/>
      <c r="I36" s="86"/>
      <c r="J36" s="86"/>
      <c r="K36" s="152"/>
      <c r="L36" s="151"/>
    </row>
    <row r="37" spans="1:12" x14ac:dyDescent="0.2">
      <c r="A37" s="16"/>
      <c r="B37" s="61"/>
      <c r="C37" s="61"/>
      <c r="D37" s="26"/>
      <c r="E37" s="59"/>
      <c r="F37" s="86"/>
      <c r="G37" s="86"/>
      <c r="H37" s="86"/>
      <c r="I37" s="86"/>
      <c r="J37" s="86"/>
      <c r="K37" s="152"/>
      <c r="L37" s="151"/>
    </row>
    <row r="38" spans="1:12" x14ac:dyDescent="0.2">
      <c r="A38" s="16"/>
      <c r="B38" s="61"/>
      <c r="C38" s="61"/>
      <c r="D38" s="26"/>
      <c r="E38" s="59"/>
      <c r="F38" s="86"/>
      <c r="G38" s="86"/>
      <c r="H38" s="86"/>
      <c r="I38" s="86"/>
      <c r="J38" s="86"/>
      <c r="K38" s="152"/>
      <c r="L38" s="151"/>
    </row>
    <row r="39" spans="1:12" x14ac:dyDescent="0.2">
      <c r="A39" s="16"/>
      <c r="B39" s="61"/>
      <c r="C39" s="61"/>
      <c r="D39" s="26"/>
      <c r="E39" s="59"/>
      <c r="F39" s="86"/>
      <c r="G39" s="86"/>
      <c r="H39" s="86"/>
      <c r="I39" s="86"/>
      <c r="J39" s="86"/>
      <c r="K39" s="152"/>
      <c r="L39" s="151"/>
    </row>
    <row r="40" spans="1:12" x14ac:dyDescent="0.2">
      <c r="A40" s="16"/>
      <c r="B40" s="61"/>
      <c r="C40" s="61"/>
      <c r="D40" s="26"/>
      <c r="E40" s="59"/>
      <c r="F40" s="86"/>
      <c r="G40" s="86"/>
      <c r="H40" s="86"/>
      <c r="I40" s="86"/>
      <c r="J40" s="86"/>
      <c r="K40" s="152"/>
      <c r="L40" s="151"/>
    </row>
    <row r="41" spans="1:12" x14ac:dyDescent="0.2">
      <c r="A41" s="16"/>
      <c r="B41" s="61"/>
      <c r="C41" s="61"/>
      <c r="D41" s="26"/>
      <c r="E41" s="59"/>
      <c r="F41" s="86"/>
      <c r="G41" s="86"/>
      <c r="H41" s="86"/>
      <c r="I41" s="86"/>
      <c r="J41" s="86"/>
      <c r="K41" s="152"/>
      <c r="L41" s="151"/>
    </row>
    <row r="42" spans="1:12" x14ac:dyDescent="0.2">
      <c r="A42" s="16"/>
      <c r="B42" s="61"/>
      <c r="C42" s="61"/>
      <c r="D42" s="26"/>
      <c r="E42" s="59"/>
      <c r="F42" s="86"/>
      <c r="G42" s="86"/>
      <c r="H42" s="86"/>
      <c r="I42" s="86"/>
      <c r="J42" s="86"/>
      <c r="K42" s="152"/>
      <c r="L42" s="151"/>
    </row>
    <row r="43" spans="1:12" x14ac:dyDescent="0.2">
      <c r="A43" s="16"/>
      <c r="B43" s="61"/>
      <c r="C43" s="61"/>
      <c r="D43" s="26"/>
      <c r="E43" s="59"/>
      <c r="F43" s="86"/>
      <c r="G43" s="86"/>
      <c r="H43" s="86"/>
      <c r="I43" s="86"/>
      <c r="J43" s="86"/>
      <c r="K43" s="152"/>
      <c r="L43" s="151"/>
    </row>
    <row r="44" spans="1:12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</row>
    <row r="45" spans="1:12" ht="17.25" customHeight="1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</row>
    <row r="46" spans="1:12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</row>
    <row r="47" spans="1:12" x14ac:dyDescent="0.2">
      <c r="A47" s="11"/>
      <c r="B47" s="11"/>
      <c r="C47" s="11"/>
      <c r="D47" s="11"/>
      <c r="E47" s="11"/>
      <c r="F47" s="11"/>
      <c r="G47" s="11"/>
      <c r="H47" s="11"/>
      <c r="I47" s="11"/>
      <c r="J47" s="11"/>
      <c r="K47" s="11"/>
    </row>
    <row r="48" spans="1:12" ht="15" x14ac:dyDescent="0.2">
      <c r="A48" s="11"/>
      <c r="B48" s="11"/>
      <c r="C48" s="11"/>
      <c r="D48" s="11"/>
      <c r="E48" s="11"/>
      <c r="F48" s="11"/>
      <c r="G48" s="11"/>
      <c r="H48" s="40"/>
      <c r="I48" s="111"/>
      <c r="J48" s="81"/>
      <c r="K48" s="11"/>
    </row>
    <row r="49" spans="1:12" x14ac:dyDescent="0.2">
      <c r="A49" s="11"/>
      <c r="B49" s="11"/>
      <c r="C49" s="11"/>
      <c r="D49" s="11"/>
      <c r="E49" s="11"/>
      <c r="F49" s="11"/>
      <c r="G49" s="11"/>
      <c r="H49" s="111"/>
      <c r="I49" s="111"/>
      <c r="J49" s="81"/>
      <c r="K49" s="11"/>
    </row>
    <row r="50" spans="1:12" x14ac:dyDescent="0.2">
      <c r="G50" s="11"/>
      <c r="H50" s="111"/>
      <c r="I50" s="111"/>
      <c r="J50" s="81"/>
      <c r="K50" s="11"/>
    </row>
    <row r="51" spans="1:12" x14ac:dyDescent="0.2">
      <c r="G51" s="11"/>
      <c r="H51" s="111"/>
      <c r="I51" s="111"/>
      <c r="J51" s="81"/>
      <c r="K51" s="11"/>
    </row>
    <row r="52" spans="1:12" x14ac:dyDescent="0.2">
      <c r="G52" s="11"/>
      <c r="H52" s="111"/>
      <c r="I52" s="111"/>
      <c r="J52" s="81"/>
      <c r="K52" s="11"/>
    </row>
    <row r="53" spans="1:12" x14ac:dyDescent="0.2">
      <c r="G53" s="11"/>
      <c r="H53" s="11"/>
      <c r="I53" s="11"/>
      <c r="J53" s="11"/>
      <c r="K53" s="11"/>
    </row>
    <row r="54" spans="1:12" x14ac:dyDescent="0.2">
      <c r="G54" s="11"/>
      <c r="H54" s="11"/>
      <c r="I54" s="11"/>
      <c r="J54" s="11"/>
      <c r="K54" s="11"/>
    </row>
    <row r="56" spans="1:12" x14ac:dyDescent="0.2">
      <c r="J56"/>
      <c r="K56"/>
      <c r="L56"/>
    </row>
    <row r="57" spans="1:12" x14ac:dyDescent="0.2">
      <c r="J57"/>
      <c r="K57"/>
      <c r="L57"/>
    </row>
    <row r="58" spans="1:12" x14ac:dyDescent="0.2">
      <c r="J58"/>
      <c r="K58"/>
      <c r="L58"/>
    </row>
    <row r="59" spans="1:12" x14ac:dyDescent="0.2">
      <c r="J59"/>
      <c r="K59"/>
      <c r="L59"/>
    </row>
    <row r="60" spans="1:12" x14ac:dyDescent="0.2">
      <c r="J60"/>
      <c r="K60"/>
      <c r="L60"/>
    </row>
  </sheetData>
  <mergeCells count="1">
    <mergeCell ref="C1:M1"/>
  </mergeCells>
  <printOptions horizontalCentered="1"/>
  <pageMargins left="0.5" right="0.5" top="0.5" bottom="0.5" header="0" footer="0"/>
  <pageSetup scale="9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showGridLines="0" workbookViewId="0">
      <selection activeCell="O4" sqref="O4"/>
    </sheetView>
  </sheetViews>
  <sheetFormatPr defaultColWidth="8.85546875" defaultRowHeight="12.75" x14ac:dyDescent="0.2"/>
  <cols>
    <col min="1" max="7" width="8.28515625" style="89" customWidth="1"/>
    <col min="8" max="8" width="4.85546875" style="89" customWidth="1"/>
    <col min="9" max="14" width="8.28515625" style="89" customWidth="1"/>
    <col min="15" max="15" width="13.140625" style="89" customWidth="1"/>
    <col min="16" max="19" width="8.28515625" style="89" customWidth="1"/>
    <col min="20" max="16384" width="8.85546875" style="89"/>
  </cols>
  <sheetData>
    <row r="1" spans="1:15" ht="15.75" x14ac:dyDescent="0.25">
      <c r="C1" s="160" t="s">
        <v>11</v>
      </c>
      <c r="D1" s="160"/>
      <c r="E1" s="160"/>
      <c r="F1" s="160"/>
      <c r="G1" s="160"/>
      <c r="H1" s="160"/>
      <c r="I1" s="160"/>
      <c r="J1" s="160"/>
      <c r="K1" s="160"/>
      <c r="L1" s="160"/>
      <c r="M1" s="160"/>
    </row>
    <row r="2" spans="1:15" x14ac:dyDescent="0.2">
      <c r="C2" s="109" t="str">
        <f>Table!A7</f>
        <v>NordAq Energy Inc.</v>
      </c>
      <c r="K2" s="154" t="str">
        <f>Table!L7</f>
        <v>Sample Number:</v>
      </c>
      <c r="O2" s="125" t="str">
        <f>Table!$P$7</f>
        <v>10</v>
      </c>
    </row>
    <row r="3" spans="1:15" x14ac:dyDescent="0.2">
      <c r="C3" s="109" t="str">
        <f>Table!A8</f>
        <v>East Simpson No. 2 (USGS/Husky 1980)</v>
      </c>
      <c r="K3" s="154" t="str">
        <f>Table!L8</f>
        <v>Sample Depth, m:</v>
      </c>
      <c r="O3" s="108">
        <f>Table!$P$8</f>
        <v>6075.4</v>
      </c>
    </row>
    <row r="4" spans="1:15" x14ac:dyDescent="0.2">
      <c r="C4" s="109" t="str">
        <f>Table!A9</f>
        <v>Torok Sandstones Formation</v>
      </c>
      <c r="K4" s="154" t="str">
        <f>Table!L9</f>
        <v>Permeability to Air (calc), mD:</v>
      </c>
      <c r="M4" s="152"/>
      <c r="N4" s="152"/>
      <c r="O4" s="30">
        <f>Table!$P$9</f>
        <v>1.5306938498301241</v>
      </c>
    </row>
    <row r="5" spans="1:15" x14ac:dyDescent="0.2">
      <c r="C5" s="109" t="str">
        <f>Table!A10</f>
        <v>HH-61176</v>
      </c>
      <c r="D5" s="134"/>
      <c r="E5" s="134"/>
      <c r="F5" s="30"/>
      <c r="G5" s="134"/>
      <c r="K5" s="154" t="str">
        <f>Table!L10</f>
        <v>Porosity, fraction:</v>
      </c>
      <c r="M5" s="152"/>
      <c r="N5" s="152"/>
      <c r="O5" s="2">
        <f>Table!$P$10</f>
        <v>0.15669867858216641</v>
      </c>
    </row>
    <row r="6" spans="1:15" x14ac:dyDescent="0.2">
      <c r="A6" s="152"/>
      <c r="C6" s="109"/>
      <c r="D6" s="8"/>
      <c r="E6" s="8"/>
      <c r="F6" s="8"/>
      <c r="G6" s="152"/>
      <c r="K6" s="154" t="str">
        <f>Table!L11</f>
        <v>Grain Density, grams/cc:</v>
      </c>
      <c r="M6" s="8"/>
      <c r="N6" s="8"/>
      <c r="O6" s="30">
        <f>Table!$P$11</f>
        <v>2.674994653644446</v>
      </c>
    </row>
    <row r="7" spans="1:15" x14ac:dyDescent="0.2">
      <c r="B7" s="109"/>
      <c r="D7" s="152"/>
      <c r="E7" s="152"/>
      <c r="I7" s="154"/>
      <c r="K7" s="8"/>
      <c r="L7" s="128"/>
      <c r="M7" s="79"/>
    </row>
    <row r="8" spans="1:15" x14ac:dyDescent="0.2">
      <c r="B8" s="152"/>
      <c r="C8" s="152"/>
      <c r="D8" s="152"/>
      <c r="E8" s="152"/>
      <c r="F8" s="152"/>
    </row>
    <row r="9" spans="1:15" x14ac:dyDescent="0.2">
      <c r="B9" s="152"/>
      <c r="C9" s="152"/>
      <c r="D9" s="152"/>
      <c r="E9" s="152"/>
      <c r="F9" s="152"/>
      <c r="K9" s="8"/>
      <c r="L9" s="128"/>
    </row>
    <row r="10" spans="1:15" x14ac:dyDescent="0.2">
      <c r="B10" s="152"/>
      <c r="C10" s="152"/>
      <c r="D10" s="8"/>
      <c r="E10" s="152"/>
      <c r="F10" s="152"/>
      <c r="K10" s="8"/>
      <c r="L10" s="128"/>
    </row>
    <row r="11" spans="1:15" x14ac:dyDescent="0.2">
      <c r="B11" s="152"/>
      <c r="C11" s="152"/>
      <c r="D11" s="8"/>
      <c r="E11" s="152"/>
      <c r="F11" s="152"/>
      <c r="G11" s="154"/>
      <c r="H11" s="152"/>
      <c r="I11" s="152"/>
      <c r="J11" s="2"/>
      <c r="K11" s="8"/>
      <c r="L11" s="128"/>
    </row>
    <row r="12" spans="1:15" x14ac:dyDescent="0.2">
      <c r="A12" s="109"/>
      <c r="B12" s="152"/>
      <c r="C12" s="152"/>
      <c r="D12" s="152"/>
      <c r="E12" s="152"/>
      <c r="F12" s="152"/>
      <c r="G12" s="152"/>
      <c r="H12" s="152"/>
      <c r="I12" s="137"/>
      <c r="J12" s="8"/>
      <c r="K12" s="8"/>
      <c r="L12" s="128"/>
    </row>
    <row r="13" spans="1:15" x14ac:dyDescent="0.2">
      <c r="A13" s="23"/>
      <c r="B13" s="23"/>
      <c r="C13" s="23"/>
      <c r="D13" s="23"/>
      <c r="E13" s="23"/>
      <c r="F13" s="10"/>
      <c r="G13" s="10"/>
      <c r="H13" s="10"/>
      <c r="I13" s="10"/>
      <c r="J13" s="10"/>
      <c r="K13" s="8"/>
      <c r="L13" s="128"/>
    </row>
    <row r="14" spans="1:15" x14ac:dyDescent="0.2">
      <c r="A14" s="23"/>
      <c r="B14" s="23"/>
      <c r="C14" s="23"/>
      <c r="D14" s="23"/>
      <c r="E14" s="23"/>
      <c r="F14" s="23"/>
      <c r="G14" s="23"/>
      <c r="H14" s="23"/>
      <c r="I14" s="10"/>
      <c r="J14" s="10"/>
      <c r="K14" s="152"/>
      <c r="L14" s="128"/>
    </row>
    <row r="15" spans="1:15" x14ac:dyDescent="0.2">
      <c r="A15" s="23"/>
      <c r="B15" s="23"/>
      <c r="C15" s="23"/>
      <c r="D15" s="23"/>
      <c r="E15" s="23"/>
      <c r="F15" s="23"/>
      <c r="G15" s="23"/>
      <c r="H15" s="23"/>
      <c r="I15" s="10"/>
      <c r="J15" s="10"/>
      <c r="K15" s="152"/>
      <c r="L15" s="128"/>
    </row>
    <row r="16" spans="1:15" x14ac:dyDescent="0.2">
      <c r="A16" s="94"/>
      <c r="B16" s="94"/>
      <c r="C16" s="94"/>
      <c r="D16" s="94"/>
      <c r="E16" s="94"/>
      <c r="F16" s="94"/>
      <c r="G16" s="94"/>
      <c r="H16" s="94"/>
      <c r="I16" s="94"/>
      <c r="J16" s="94"/>
      <c r="K16" s="152"/>
      <c r="L16" s="55"/>
    </row>
    <row r="17" spans="1:12" x14ac:dyDescent="0.2">
      <c r="A17" s="122"/>
      <c r="B17" s="61"/>
      <c r="C17" s="61"/>
      <c r="D17" s="26"/>
      <c r="E17" s="59"/>
      <c r="F17" s="86"/>
      <c r="G17" s="86"/>
      <c r="H17" s="86"/>
      <c r="I17" s="86"/>
      <c r="J17" s="86"/>
      <c r="K17" s="152"/>
      <c r="L17" s="55"/>
    </row>
    <row r="18" spans="1:12" x14ac:dyDescent="0.2">
      <c r="A18" s="106"/>
      <c r="B18" s="61"/>
      <c r="C18" s="61"/>
      <c r="D18" s="26"/>
      <c r="E18" s="59"/>
      <c r="F18" s="86"/>
      <c r="G18" s="86"/>
      <c r="H18" s="86"/>
      <c r="I18" s="86"/>
      <c r="J18" s="86"/>
      <c r="K18" s="152"/>
      <c r="L18" s="55"/>
    </row>
    <row r="19" spans="1:12" x14ac:dyDescent="0.2">
      <c r="A19" s="106"/>
      <c r="B19" s="61"/>
      <c r="C19" s="61"/>
      <c r="D19" s="26"/>
      <c r="E19" s="59"/>
      <c r="F19" s="86"/>
      <c r="G19" s="86"/>
      <c r="H19" s="86"/>
      <c r="I19" s="86"/>
      <c r="J19" s="86"/>
      <c r="K19" s="152"/>
      <c r="L19" s="94"/>
    </row>
    <row r="20" spans="1:12" x14ac:dyDescent="0.2">
      <c r="A20" s="106"/>
      <c r="B20" s="61"/>
      <c r="C20" s="61"/>
      <c r="D20" s="26"/>
      <c r="E20" s="59"/>
      <c r="F20" s="86"/>
      <c r="G20" s="86"/>
      <c r="H20" s="86"/>
      <c r="I20" s="86"/>
      <c r="J20" s="86"/>
      <c r="K20" s="152"/>
      <c r="L20" s="151"/>
    </row>
    <row r="21" spans="1:12" x14ac:dyDescent="0.2">
      <c r="A21" s="106"/>
      <c r="B21" s="61"/>
      <c r="C21" s="61"/>
      <c r="D21" s="26"/>
      <c r="E21" s="59"/>
      <c r="F21" s="86"/>
      <c r="G21" s="86"/>
      <c r="H21" s="86"/>
      <c r="I21" s="86"/>
      <c r="J21" s="86"/>
      <c r="K21" s="152"/>
      <c r="L21" s="151"/>
    </row>
    <row r="22" spans="1:12" x14ac:dyDescent="0.2">
      <c r="A22" s="106"/>
      <c r="B22" s="61"/>
      <c r="C22" s="61"/>
      <c r="D22" s="26"/>
      <c r="E22" s="59"/>
      <c r="F22" s="86"/>
      <c r="G22" s="86"/>
      <c r="H22" s="86"/>
      <c r="I22" s="86"/>
      <c r="J22" s="86"/>
      <c r="K22" s="152"/>
      <c r="L22" s="151"/>
    </row>
    <row r="23" spans="1:12" x14ac:dyDescent="0.2">
      <c r="A23" s="115"/>
      <c r="B23" s="61"/>
      <c r="C23" s="61"/>
      <c r="D23" s="26"/>
      <c r="E23" s="59"/>
      <c r="F23" s="86"/>
      <c r="G23" s="86"/>
      <c r="H23" s="86"/>
      <c r="I23" s="86"/>
      <c r="J23" s="86"/>
      <c r="K23" s="152"/>
      <c r="L23" s="151"/>
    </row>
    <row r="24" spans="1:12" x14ac:dyDescent="0.2">
      <c r="A24" s="115"/>
      <c r="B24" s="61"/>
      <c r="C24" s="61"/>
      <c r="D24" s="26"/>
      <c r="E24" s="59"/>
      <c r="F24" s="86"/>
      <c r="G24" s="86"/>
      <c r="H24" s="86"/>
      <c r="I24" s="86"/>
      <c r="J24" s="86"/>
      <c r="K24" s="152"/>
      <c r="L24" s="151"/>
    </row>
    <row r="25" spans="1:12" x14ac:dyDescent="0.2">
      <c r="A25" s="115"/>
      <c r="B25" s="61"/>
      <c r="C25" s="61"/>
      <c r="D25" s="26"/>
      <c r="E25" s="59"/>
      <c r="F25" s="86"/>
      <c r="G25" s="86"/>
      <c r="H25" s="86"/>
      <c r="I25" s="86"/>
      <c r="J25" s="86"/>
      <c r="K25" s="152"/>
      <c r="L25" s="151"/>
    </row>
    <row r="26" spans="1:12" x14ac:dyDescent="0.2">
      <c r="A26" s="115"/>
      <c r="B26" s="61"/>
      <c r="C26" s="61"/>
      <c r="D26" s="26"/>
      <c r="E26" s="59"/>
      <c r="F26" s="86"/>
      <c r="G26" s="86"/>
      <c r="H26" s="86"/>
      <c r="I26" s="86"/>
      <c r="J26" s="86"/>
      <c r="K26" s="152"/>
      <c r="L26" s="151"/>
    </row>
    <row r="27" spans="1:12" x14ac:dyDescent="0.2">
      <c r="A27" s="115"/>
      <c r="B27" s="61"/>
      <c r="C27" s="61"/>
      <c r="D27" s="26"/>
      <c r="E27" s="59"/>
      <c r="F27" s="86"/>
      <c r="G27" s="86"/>
      <c r="H27" s="86"/>
      <c r="I27" s="86"/>
      <c r="J27" s="86"/>
      <c r="K27" s="152"/>
      <c r="L27" s="151"/>
    </row>
    <row r="28" spans="1:12" x14ac:dyDescent="0.2">
      <c r="A28" s="118"/>
      <c r="B28" s="61"/>
      <c r="C28" s="61"/>
      <c r="D28" s="26"/>
      <c r="E28" s="59"/>
      <c r="F28" s="86"/>
      <c r="G28" s="86"/>
      <c r="H28" s="86"/>
      <c r="I28" s="86"/>
      <c r="J28" s="86"/>
      <c r="K28" s="152"/>
      <c r="L28" s="151"/>
    </row>
    <row r="29" spans="1:12" x14ac:dyDescent="0.2">
      <c r="A29" s="118"/>
      <c r="B29" s="61"/>
      <c r="C29" s="61"/>
      <c r="D29" s="26"/>
      <c r="E29" s="59"/>
      <c r="F29" s="86"/>
      <c r="G29" s="86"/>
      <c r="H29" s="86"/>
      <c r="I29" s="86"/>
      <c r="J29" s="86"/>
      <c r="K29" s="152"/>
      <c r="L29" s="151"/>
    </row>
    <row r="30" spans="1:12" x14ac:dyDescent="0.2">
      <c r="A30" s="118"/>
      <c r="B30" s="61"/>
      <c r="C30" s="61"/>
      <c r="D30" s="26"/>
      <c r="E30" s="59"/>
      <c r="F30" s="86"/>
      <c r="G30" s="86"/>
      <c r="H30" s="86"/>
      <c r="I30" s="86"/>
      <c r="J30" s="86"/>
      <c r="K30" s="152"/>
      <c r="L30" s="151"/>
    </row>
    <row r="31" spans="1:12" x14ac:dyDescent="0.2">
      <c r="A31" s="118"/>
      <c r="B31" s="61"/>
      <c r="C31" s="61"/>
      <c r="D31" s="26"/>
      <c r="E31" s="59"/>
      <c r="F31" s="86"/>
      <c r="G31" s="86"/>
      <c r="H31" s="86"/>
      <c r="I31" s="86"/>
      <c r="J31" s="86"/>
      <c r="K31" s="152"/>
      <c r="L31" s="151"/>
    </row>
    <row r="32" spans="1:12" x14ac:dyDescent="0.2">
      <c r="A32" s="118"/>
      <c r="B32" s="61"/>
      <c r="C32" s="61"/>
      <c r="D32" s="26"/>
      <c r="E32" s="59"/>
      <c r="F32" s="86"/>
      <c r="G32" s="86"/>
      <c r="H32" s="86"/>
      <c r="I32" s="86"/>
      <c r="J32" s="86"/>
      <c r="K32" s="152"/>
      <c r="L32" s="151"/>
    </row>
    <row r="33" spans="1:13" x14ac:dyDescent="0.2">
      <c r="A33" s="16"/>
      <c r="B33" s="61"/>
      <c r="C33" s="61"/>
      <c r="D33" s="26"/>
      <c r="E33" s="59"/>
      <c r="F33" s="86"/>
      <c r="G33" s="86"/>
      <c r="H33" s="86"/>
      <c r="I33" s="86"/>
      <c r="J33" s="86"/>
      <c r="K33" s="152"/>
      <c r="L33" s="151"/>
    </row>
    <row r="34" spans="1:13" x14ac:dyDescent="0.2">
      <c r="A34" s="16"/>
      <c r="B34" s="61"/>
      <c r="C34" s="61"/>
      <c r="D34" s="26"/>
      <c r="E34" s="59"/>
      <c r="F34" s="86"/>
      <c r="G34" s="86"/>
      <c r="H34" s="86"/>
      <c r="I34" s="86"/>
      <c r="J34" s="86"/>
      <c r="K34" s="152"/>
      <c r="L34" s="151"/>
    </row>
    <row r="35" spans="1:13" x14ac:dyDescent="0.2">
      <c r="A35" s="16"/>
      <c r="B35" s="61"/>
      <c r="C35" s="61"/>
      <c r="D35" s="26"/>
      <c r="E35" s="59"/>
      <c r="F35" s="86"/>
      <c r="G35" s="86"/>
      <c r="H35" s="86"/>
      <c r="I35" s="86"/>
      <c r="J35" s="86"/>
      <c r="K35" s="152"/>
      <c r="L35" s="151"/>
    </row>
    <row r="36" spans="1:13" x14ac:dyDescent="0.2">
      <c r="A36" s="16"/>
      <c r="B36" s="61"/>
      <c r="C36" s="61"/>
      <c r="D36" s="26"/>
      <c r="E36" s="59"/>
      <c r="F36" s="86"/>
      <c r="G36" s="86"/>
      <c r="H36" s="86"/>
      <c r="I36" s="86"/>
      <c r="J36" s="86"/>
      <c r="K36" s="152"/>
      <c r="L36" s="151"/>
    </row>
    <row r="37" spans="1:13" x14ac:dyDescent="0.2">
      <c r="A37" s="16"/>
      <c r="B37" s="61"/>
      <c r="C37" s="61"/>
      <c r="D37" s="26"/>
      <c r="E37" s="59"/>
      <c r="F37" s="86"/>
      <c r="G37" s="86"/>
      <c r="H37" s="86"/>
      <c r="I37" s="86"/>
      <c r="J37" s="86"/>
      <c r="K37"/>
      <c r="L37"/>
      <c r="M37"/>
    </row>
    <row r="38" spans="1:13" x14ac:dyDescent="0.2">
      <c r="A38" s="16"/>
      <c r="B38" s="61"/>
      <c r="C38" s="61"/>
      <c r="D38" s="26"/>
      <c r="E38" s="59"/>
      <c r="F38" s="86"/>
      <c r="G38" s="86"/>
      <c r="H38" s="86"/>
      <c r="I38" s="86"/>
      <c r="J38" s="86"/>
      <c r="K38"/>
      <c r="L38"/>
      <c r="M38"/>
    </row>
    <row r="39" spans="1:13" x14ac:dyDescent="0.2">
      <c r="A39" s="16"/>
      <c r="B39" s="61"/>
      <c r="C39" s="61"/>
      <c r="D39" s="26"/>
      <c r="E39" s="59"/>
      <c r="F39" s="86"/>
      <c r="G39" s="86"/>
      <c r="H39" s="86"/>
      <c r="I39" s="86"/>
      <c r="J39" s="86"/>
      <c r="K39"/>
      <c r="L39"/>
      <c r="M39"/>
    </row>
    <row r="40" spans="1:13" x14ac:dyDescent="0.2">
      <c r="A40" s="16"/>
      <c r="B40" s="61"/>
      <c r="C40" s="61"/>
      <c r="D40" s="26"/>
      <c r="E40" s="59"/>
      <c r="F40" s="86"/>
      <c r="G40" s="86"/>
      <c r="H40" s="86"/>
      <c r="I40" s="86"/>
      <c r="J40" s="86"/>
      <c r="K40"/>
      <c r="L40"/>
      <c r="M40"/>
    </row>
    <row r="41" spans="1:13" x14ac:dyDescent="0.2">
      <c r="A41" s="16"/>
      <c r="B41" s="61"/>
      <c r="C41" s="61"/>
      <c r="D41" s="26"/>
      <c r="E41" s="59"/>
      <c r="F41" s="86"/>
      <c r="G41" s="86"/>
      <c r="H41" s="86"/>
      <c r="I41" s="86"/>
      <c r="J41" s="86"/>
      <c r="K41"/>
      <c r="L41"/>
      <c r="M41"/>
    </row>
    <row r="42" spans="1:13" x14ac:dyDescent="0.2">
      <c r="A42" s="16"/>
      <c r="B42" s="61"/>
      <c r="C42" s="61"/>
      <c r="D42" s="26"/>
      <c r="E42" s="59"/>
      <c r="F42" s="86"/>
      <c r="G42" s="86"/>
      <c r="H42" s="86"/>
      <c r="I42" s="86"/>
      <c r="J42" s="86"/>
      <c r="K42" s="152"/>
      <c r="L42" s="151"/>
    </row>
    <row r="43" spans="1:13" x14ac:dyDescent="0.2">
      <c r="A43" s="11"/>
      <c r="B43" s="11"/>
      <c r="C43" s="11"/>
      <c r="D43" s="11"/>
      <c r="E43" s="11"/>
      <c r="F43" s="11"/>
      <c r="G43" s="11"/>
      <c r="H43" s="11"/>
      <c r="I43" s="11"/>
      <c r="J43" s="11"/>
    </row>
    <row r="44" spans="1:13" x14ac:dyDescent="0.2">
      <c r="A44" s="11"/>
      <c r="B44" s="11"/>
      <c r="C44" s="11"/>
      <c r="D44" s="11"/>
      <c r="E44" s="11"/>
      <c r="F44" s="11"/>
      <c r="G44" s="11"/>
      <c r="H44" s="11"/>
      <c r="I44" s="11"/>
      <c r="J44" s="11"/>
    </row>
    <row r="45" spans="1:13" x14ac:dyDescent="0.2">
      <c r="A45" s="11"/>
      <c r="B45" s="11"/>
      <c r="C45" s="11"/>
      <c r="D45" s="11"/>
      <c r="E45" s="11"/>
      <c r="F45" s="11"/>
      <c r="G45" s="11"/>
      <c r="H45" s="11"/>
      <c r="I45" s="11"/>
      <c r="J45" s="11"/>
    </row>
    <row r="46" spans="1:13" x14ac:dyDescent="0.2">
      <c r="A46" s="11"/>
      <c r="B46" s="11"/>
      <c r="C46" s="11"/>
      <c r="D46" s="11"/>
      <c r="E46" s="11"/>
      <c r="F46" s="11"/>
      <c r="G46" s="11"/>
      <c r="H46" s="11"/>
      <c r="I46" s="11"/>
      <c r="J46" s="11"/>
    </row>
    <row r="47" spans="1:13" x14ac:dyDescent="0.2">
      <c r="A47" s="11"/>
      <c r="B47" s="11"/>
      <c r="C47" s="11"/>
      <c r="D47" s="11"/>
      <c r="E47" s="11"/>
      <c r="F47" s="11"/>
      <c r="G47" s="11"/>
    </row>
    <row r="48" spans="1:13" x14ac:dyDescent="0.2">
      <c r="A48" s="11"/>
      <c r="B48" s="11"/>
      <c r="C48" s="11"/>
      <c r="D48" s="11"/>
      <c r="E48" s="11"/>
      <c r="F48" s="11"/>
      <c r="G48" s="11"/>
    </row>
    <row r="55" spans="10:12" x14ac:dyDescent="0.2">
      <c r="J55"/>
      <c r="K55"/>
      <c r="L55"/>
    </row>
    <row r="56" spans="10:12" x14ac:dyDescent="0.2">
      <c r="J56"/>
      <c r="K56"/>
      <c r="L56"/>
    </row>
    <row r="57" spans="10:12" x14ac:dyDescent="0.2">
      <c r="J57"/>
      <c r="K57"/>
      <c r="L57"/>
    </row>
    <row r="58" spans="10:12" x14ac:dyDescent="0.2">
      <c r="J58"/>
      <c r="K58"/>
      <c r="L58"/>
    </row>
    <row r="59" spans="10:12" x14ac:dyDescent="0.2">
      <c r="J59"/>
      <c r="K59"/>
      <c r="L59"/>
    </row>
  </sheetData>
  <mergeCells count="1">
    <mergeCell ref="C1:M1"/>
  </mergeCells>
  <printOptions horizontalCentered="1"/>
  <pageMargins left="0.5" right="0.5" top="0.5" bottom="0.5" header="0" footer="0"/>
  <pageSetup scale="74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/>
  <dimension ref="A1:AV190"/>
  <sheetViews>
    <sheetView showGridLines="0" workbookViewId="0">
      <pane xSplit="2" ySplit="16" topLeftCell="C17" activePane="bottomRight" state="frozen"/>
      <selection pane="topRight" activeCell="C1" sqref="C1"/>
      <selection pane="bottomLeft" activeCell="A17" sqref="A17"/>
      <selection pane="bottomRight" activeCell="A11" sqref="A11"/>
    </sheetView>
  </sheetViews>
  <sheetFormatPr defaultColWidth="8.85546875" defaultRowHeight="12.75" x14ac:dyDescent="0.2"/>
  <cols>
    <col min="1" max="2" width="8.85546875" style="89"/>
    <col min="3" max="3" width="11.140625" style="89" customWidth="1"/>
    <col min="4" max="4" width="16.28515625" style="89" customWidth="1"/>
    <col min="5" max="8" width="10.85546875" style="89" customWidth="1"/>
    <col min="9" max="9" width="11.140625" style="89" customWidth="1"/>
    <col min="10" max="10" width="11.85546875" style="89" customWidth="1"/>
    <col min="11" max="11" width="9.85546875" style="89" bestFit="1" customWidth="1"/>
    <col min="12" max="12" width="10.5703125" style="89" customWidth="1"/>
    <col min="13" max="14" width="10.5703125" style="89" bestFit="1" customWidth="1"/>
    <col min="15" max="15" width="8.85546875" style="89" customWidth="1"/>
    <col min="16" max="16" width="10.5703125" style="89" bestFit="1" customWidth="1"/>
    <col min="17" max="17" width="9.5703125" style="89" customWidth="1"/>
    <col min="18" max="18" width="8.85546875" style="89" customWidth="1"/>
    <col min="19" max="19" width="10.85546875" style="89" customWidth="1"/>
    <col min="20" max="20" width="11.140625" style="89" customWidth="1"/>
    <col min="21" max="21" width="9.28515625" style="89" customWidth="1"/>
    <col min="22" max="22" width="10.7109375" style="89" customWidth="1"/>
    <col min="23" max="23" width="10.5703125" style="89" customWidth="1"/>
    <col min="24" max="24" width="11" style="89" customWidth="1"/>
    <col min="25" max="25" width="9.140625"/>
    <col min="26" max="26" width="13" style="89" customWidth="1"/>
    <col min="27" max="28" width="8.85546875" style="89"/>
    <col min="29" max="29" width="12.140625" style="89" bestFit="1" customWidth="1"/>
    <col min="30" max="39" width="8.85546875" style="89"/>
    <col min="40" max="40" width="15.85546875" style="89" customWidth="1"/>
    <col min="41" max="43" width="8.85546875" style="89"/>
    <col min="44" max="48" width="8.85546875" style="11"/>
    <col min="49" max="16384" width="8.85546875" style="89"/>
  </cols>
  <sheetData>
    <row r="1" spans="1:48" x14ac:dyDescent="0.2">
      <c r="P1" s="124"/>
      <c r="Q1" s="124"/>
      <c r="Z1" s="121" t="s">
        <v>51</v>
      </c>
      <c r="AA1" s="102"/>
      <c r="AB1" s="102"/>
      <c r="AC1" s="117"/>
      <c r="AD1" s="117"/>
    </row>
    <row r="2" spans="1:48" x14ac:dyDescent="0.2">
      <c r="Z2" s="57"/>
      <c r="AA2" s="70"/>
      <c r="AB2" s="72" t="s">
        <v>67</v>
      </c>
      <c r="AC2" s="72" t="s">
        <v>52</v>
      </c>
      <c r="AD2" s="88" t="s">
        <v>0</v>
      </c>
      <c r="AE2" s="31" t="s">
        <v>28</v>
      </c>
    </row>
    <row r="3" spans="1:48" x14ac:dyDescent="0.2">
      <c r="P3" s="84"/>
      <c r="Q3" s="84"/>
      <c r="Z3" s="113" t="s">
        <v>83</v>
      </c>
      <c r="AA3" s="94"/>
      <c r="AB3" s="33">
        <v>130</v>
      </c>
      <c r="AC3" s="55"/>
      <c r="AD3" s="50"/>
      <c r="AE3" s="153"/>
    </row>
    <row r="4" spans="1:48" x14ac:dyDescent="0.2">
      <c r="Z4" s="113" t="s">
        <v>22</v>
      </c>
      <c r="AA4" s="94"/>
      <c r="AB4" s="33">
        <v>485</v>
      </c>
      <c r="AC4" s="55"/>
      <c r="AD4" s="50"/>
      <c r="AE4" s="153"/>
      <c r="AN4" s="168" t="s">
        <v>30</v>
      </c>
      <c r="AO4" s="169"/>
      <c r="AP4" s="170"/>
      <c r="AR4" s="167"/>
      <c r="AS4" s="167"/>
      <c r="AT4" s="167"/>
    </row>
    <row r="5" spans="1:48" ht="15.75" x14ac:dyDescent="0.25">
      <c r="A5" s="160" t="s">
        <v>11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160"/>
      <c r="P5" s="160"/>
      <c r="Q5" s="102"/>
      <c r="R5" s="8"/>
      <c r="S5" s="8"/>
      <c r="T5" s="8"/>
      <c r="U5" s="8"/>
      <c r="V5" s="8"/>
      <c r="W5" s="8"/>
      <c r="X5" s="8"/>
      <c r="Z5" s="113" t="s">
        <v>32</v>
      </c>
      <c r="AA5" s="94"/>
      <c r="AB5" s="55"/>
      <c r="AC5" s="97">
        <v>0</v>
      </c>
      <c r="AD5" s="97">
        <v>0</v>
      </c>
      <c r="AE5" s="28">
        <v>30</v>
      </c>
      <c r="AN5" s="146" t="s">
        <v>45</v>
      </c>
      <c r="AO5" s="146" t="s">
        <v>34</v>
      </c>
      <c r="AP5" s="146" t="s">
        <v>56</v>
      </c>
      <c r="AR5" s="98"/>
      <c r="AS5" s="98"/>
      <c r="AT5" s="98"/>
    </row>
    <row r="6" spans="1:48" x14ac:dyDescent="0.2">
      <c r="A6" s="152"/>
      <c r="B6" s="8"/>
      <c r="C6" s="8"/>
      <c r="D6" s="152"/>
      <c r="E6" s="152"/>
      <c r="F6" s="152"/>
      <c r="G6" s="152"/>
      <c r="H6" s="152"/>
      <c r="I6" s="152"/>
      <c r="J6" s="152"/>
      <c r="K6" s="8"/>
      <c r="L6" s="8"/>
      <c r="M6" s="8"/>
      <c r="N6" s="152"/>
      <c r="O6" s="8"/>
      <c r="P6" s="8"/>
      <c r="Q6" s="8"/>
      <c r="R6" s="8"/>
      <c r="S6" s="8"/>
      <c r="T6" s="8"/>
      <c r="U6" s="8"/>
      <c r="V6" s="8"/>
      <c r="W6" s="8"/>
      <c r="X6" s="8"/>
      <c r="Z6" s="113" t="s">
        <v>29</v>
      </c>
      <c r="AA6" s="94"/>
      <c r="AB6" s="55"/>
      <c r="AC6" s="51">
        <v>70</v>
      </c>
      <c r="AD6" s="33">
        <v>24</v>
      </c>
      <c r="AE6" s="116">
        <v>35</v>
      </c>
      <c r="AN6" s="17" t="s">
        <v>47</v>
      </c>
      <c r="AO6" s="17" t="s">
        <v>25</v>
      </c>
      <c r="AP6" s="17" t="s">
        <v>25</v>
      </c>
      <c r="AR6" s="98"/>
      <c r="AS6" s="98"/>
      <c r="AT6" s="98"/>
    </row>
    <row r="7" spans="1:48" ht="12.4" customHeight="1" x14ac:dyDescent="0.2">
      <c r="A7" s="126" t="s">
        <v>93</v>
      </c>
      <c r="B7" s="152"/>
      <c r="C7" s="152"/>
      <c r="D7" s="8"/>
      <c r="E7" s="8"/>
      <c r="F7" s="8"/>
      <c r="G7" s="8"/>
      <c r="H7" s="8"/>
      <c r="I7" s="8"/>
      <c r="J7" s="8"/>
      <c r="K7" s="152"/>
      <c r="L7" s="89" t="s">
        <v>41</v>
      </c>
      <c r="P7" s="125" t="s">
        <v>31</v>
      </c>
      <c r="Q7" s="125"/>
      <c r="R7" s="8"/>
      <c r="S7" s="8"/>
      <c r="T7" s="8"/>
      <c r="U7" s="8"/>
      <c r="V7" s="8"/>
      <c r="W7" s="8"/>
      <c r="X7" s="8"/>
      <c r="Z7" s="1" t="s">
        <v>24</v>
      </c>
      <c r="AA7" s="76"/>
      <c r="AB7" s="41"/>
      <c r="AC7" s="51">
        <v>0</v>
      </c>
      <c r="AD7" s="22"/>
      <c r="AE7" s="116">
        <v>30</v>
      </c>
      <c r="AN7" s="90" t="s">
        <v>82</v>
      </c>
      <c r="AO7" s="35">
        <v>1</v>
      </c>
      <c r="AP7" s="35">
        <f t="shared" ref="AP7:AP27" si="0">AO7-AO8</f>
        <v>1.1908306043462158E-4</v>
      </c>
      <c r="AR7" s="12" t="s">
        <v>82</v>
      </c>
      <c r="AS7" s="114"/>
      <c r="AT7" s="114"/>
      <c r="AU7" s="100"/>
      <c r="AV7" s="100"/>
    </row>
    <row r="8" spans="1:48" ht="12.4" customHeight="1" x14ac:dyDescent="0.2">
      <c r="A8" s="126" t="s">
        <v>94</v>
      </c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89" t="s">
        <v>92</v>
      </c>
      <c r="P8" s="108">
        <v>6075.4</v>
      </c>
      <c r="Q8" s="19"/>
      <c r="R8" s="8"/>
      <c r="S8" s="8"/>
      <c r="T8" s="8"/>
      <c r="U8" s="8"/>
      <c r="V8" s="8"/>
      <c r="W8" s="8"/>
      <c r="X8" s="8"/>
      <c r="Z8" s="110" t="s">
        <v>81</v>
      </c>
      <c r="AA8" s="74"/>
      <c r="AB8" s="39"/>
      <c r="AC8" s="104">
        <v>50</v>
      </c>
      <c r="AD8" s="75"/>
      <c r="AE8" s="120">
        <v>25</v>
      </c>
      <c r="AN8" s="105">
        <f>E135</f>
        <v>1.6736522058795364E-3</v>
      </c>
      <c r="AO8" s="35">
        <f>B135</f>
        <v>0.99988091693956538</v>
      </c>
      <c r="AP8" s="35">
        <f t="shared" si="0"/>
        <v>4.1679071152123104E-4</v>
      </c>
      <c r="AR8" s="29">
        <v>1.8387307309880479E-3</v>
      </c>
      <c r="AS8" s="114"/>
      <c r="AT8" s="114"/>
      <c r="AU8" s="45"/>
      <c r="AV8" s="56"/>
    </row>
    <row r="9" spans="1:48" ht="12.4" customHeight="1" x14ac:dyDescent="0.2">
      <c r="A9" s="109" t="s">
        <v>95</v>
      </c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4" t="s">
        <v>75</v>
      </c>
      <c r="N9" s="152"/>
      <c r="O9" s="152"/>
      <c r="P9" s="108">
        <f>MAX(V18:V136)</f>
        <v>1.5306938498301241</v>
      </c>
      <c r="Q9" s="9"/>
      <c r="R9" s="8"/>
      <c r="S9" s="8"/>
      <c r="T9" s="8"/>
      <c r="U9" s="8"/>
      <c r="V9" s="8"/>
      <c r="W9" s="8"/>
      <c r="X9" s="8"/>
      <c r="Z9" s="20" t="s">
        <v>10</v>
      </c>
      <c r="AA9" s="76"/>
      <c r="AB9" s="76"/>
      <c r="AC9" s="145">
        <f>ABS($AC$6*COS($AC$5*PI()/180))</f>
        <v>70</v>
      </c>
      <c r="AD9" s="145">
        <f>ABS($AD$6*COS($AD$5*PI()/180))</f>
        <v>24</v>
      </c>
      <c r="AE9" s="87">
        <f>ABS($AE$6*COS($AE$5*PI()/180))</f>
        <v>30.310889132455355</v>
      </c>
      <c r="AN9" s="105">
        <f>E133</f>
        <v>2.0023025259415252E-3</v>
      </c>
      <c r="AO9" s="35">
        <f>B133</f>
        <v>0.99946412622804415</v>
      </c>
      <c r="AP9" s="35">
        <f t="shared" si="0"/>
        <v>8.4548972908603526E-3</v>
      </c>
      <c r="AR9" s="29">
        <v>2.3796891258599209E-3</v>
      </c>
      <c r="AS9" s="114"/>
      <c r="AT9" s="114"/>
      <c r="AU9" s="45"/>
      <c r="AV9" s="56"/>
    </row>
    <row r="10" spans="1:48" ht="12.4" customHeight="1" x14ac:dyDescent="0.2">
      <c r="A10" s="150" t="s">
        <v>96</v>
      </c>
      <c r="B10" s="152"/>
      <c r="C10" s="152"/>
      <c r="D10" s="8"/>
      <c r="E10" s="8"/>
      <c r="F10" s="8"/>
      <c r="G10" s="8"/>
      <c r="H10" s="8"/>
      <c r="I10" s="8"/>
      <c r="J10" s="8"/>
      <c r="K10" s="152"/>
      <c r="L10" s="154" t="s">
        <v>53</v>
      </c>
      <c r="N10" s="152"/>
      <c r="O10" s="152"/>
      <c r="P10" s="2">
        <f>'Raw Data'!M10</f>
        <v>0.15669867858216641</v>
      </c>
      <c r="Q10" s="2"/>
      <c r="R10" s="8"/>
      <c r="S10" s="8"/>
      <c r="T10" s="8"/>
      <c r="U10" s="8"/>
      <c r="V10" s="8"/>
      <c r="W10" s="8"/>
      <c r="X10" s="8"/>
      <c r="Z10" s="123" t="s">
        <v>61</v>
      </c>
      <c r="AA10" s="74"/>
      <c r="AB10" s="74"/>
      <c r="AC10" s="46">
        <f>ABS($AC$8*COS($AC$7*PI()/180))</f>
        <v>50</v>
      </c>
      <c r="AD10" s="39"/>
      <c r="AE10" s="93">
        <f>ABS($AE$8*COS($AE$7*PI()/180))</f>
        <v>21.650635094610969</v>
      </c>
      <c r="AN10" s="105">
        <f>E125</f>
        <v>4.1111816534771814E-3</v>
      </c>
      <c r="AO10" s="35">
        <f>$B125</f>
        <v>0.99100922893718379</v>
      </c>
      <c r="AP10" s="35">
        <f t="shared" si="0"/>
        <v>1.2980053587377305E-2</v>
      </c>
      <c r="AR10" s="29">
        <v>4.918869133300207E-3</v>
      </c>
      <c r="AS10" s="114"/>
      <c r="AT10" s="114"/>
      <c r="AU10" s="45"/>
      <c r="AV10" s="56"/>
    </row>
    <row r="11" spans="1:48" ht="12.4" customHeight="1" x14ac:dyDescent="0.2">
      <c r="A11" s="150"/>
      <c r="B11" s="152"/>
      <c r="C11" s="152"/>
      <c r="D11" s="8"/>
      <c r="E11" s="8"/>
      <c r="F11" s="8"/>
      <c r="G11" s="8"/>
      <c r="H11" s="8"/>
      <c r="I11" s="8"/>
      <c r="J11" s="8"/>
      <c r="K11" s="152"/>
      <c r="L11" s="89" t="s">
        <v>23</v>
      </c>
      <c r="P11" s="30">
        <f>'Raw Data'!M11</f>
        <v>2.674994653644446</v>
      </c>
      <c r="Q11" s="30"/>
      <c r="R11" s="8"/>
      <c r="V11" s="8"/>
      <c r="W11" s="8"/>
      <c r="X11" s="8"/>
      <c r="Z11" s="152"/>
      <c r="AA11" s="48" t="s">
        <v>48</v>
      </c>
      <c r="AB11" s="25"/>
      <c r="AC11" s="25"/>
      <c r="AD11" s="119"/>
      <c r="AN11" s="105">
        <f>E120</f>
        <v>6.4114334569353761E-3</v>
      </c>
      <c r="AO11" s="35">
        <f>$B120</f>
        <v>0.97802917534980649</v>
      </c>
      <c r="AP11" s="35">
        <f t="shared" si="0"/>
        <v>1.0777016969336084E-2</v>
      </c>
      <c r="AR11" s="29">
        <v>7.6659819593601552E-3</v>
      </c>
      <c r="AS11" s="114"/>
      <c r="AT11" s="114"/>
      <c r="AU11" s="45"/>
      <c r="AV11" s="56"/>
    </row>
    <row r="12" spans="1:48" ht="12.4" customHeight="1" x14ac:dyDescent="0.2">
      <c r="B12" s="152"/>
      <c r="C12" s="152"/>
      <c r="D12" s="157"/>
      <c r="E12" s="152"/>
      <c r="F12" s="152"/>
      <c r="G12" s="152"/>
      <c r="H12" s="152"/>
      <c r="I12" s="152"/>
      <c r="J12" s="152"/>
      <c r="K12" s="152"/>
      <c r="L12" s="152"/>
      <c r="M12" s="154"/>
      <c r="N12" s="152"/>
      <c r="O12" s="152"/>
      <c r="P12" s="79"/>
      <c r="Q12" s="79"/>
      <c r="R12" s="8"/>
      <c r="S12" s="8"/>
      <c r="T12" s="8"/>
      <c r="U12" s="8"/>
      <c r="V12" s="8"/>
      <c r="W12" s="8"/>
      <c r="X12" s="8"/>
      <c r="Z12" s="152"/>
      <c r="AA12" s="65" t="s">
        <v>72</v>
      </c>
      <c r="AB12" s="70"/>
      <c r="AC12" s="32">
        <v>0.433</v>
      </c>
      <c r="AD12" s="8"/>
      <c r="AN12" s="35">
        <f>E117</f>
        <v>8.4121616607892285E-3</v>
      </c>
      <c r="AO12" s="35">
        <f>$B117</f>
        <v>0.96725215838047041</v>
      </c>
      <c r="AP12" s="35">
        <f t="shared" si="0"/>
        <v>5.5849955343852398E-2</v>
      </c>
      <c r="AR12" s="114">
        <v>1.0017670706649362E-2</v>
      </c>
      <c r="AS12" s="114"/>
      <c r="AT12" s="114"/>
      <c r="AU12" s="45"/>
      <c r="AV12" s="56"/>
    </row>
    <row r="13" spans="1:48" ht="12.4" customHeight="1" x14ac:dyDescent="0.2">
      <c r="Z13" s="152"/>
      <c r="AA13" s="1" t="s">
        <v>14</v>
      </c>
      <c r="AB13" s="76"/>
      <c r="AC13" s="96">
        <v>0.34599999999999997</v>
      </c>
      <c r="AD13" s="152"/>
      <c r="AN13" s="35">
        <f>E107</f>
        <v>2.0660411915057922E-2</v>
      </c>
      <c r="AO13" s="35">
        <f>$B107</f>
        <v>0.91140220303661801</v>
      </c>
      <c r="AP13" s="35">
        <f t="shared" si="0"/>
        <v>6.5436141708841822E-2</v>
      </c>
      <c r="AR13" s="114">
        <v>2.4302503920103202E-2</v>
      </c>
      <c r="AS13" s="114"/>
      <c r="AT13" s="114"/>
      <c r="AU13" s="45"/>
      <c r="AV13" s="56"/>
    </row>
    <row r="14" spans="1:48" ht="12.4" customHeight="1" x14ac:dyDescent="0.2">
      <c r="A14" s="131" t="s">
        <v>85</v>
      </c>
      <c r="B14" s="131" t="s">
        <v>63</v>
      </c>
      <c r="C14" s="131" t="s">
        <v>46</v>
      </c>
      <c r="D14" s="138" t="s">
        <v>91</v>
      </c>
      <c r="E14" s="131" t="s">
        <v>89</v>
      </c>
      <c r="F14" s="131" t="s">
        <v>89</v>
      </c>
      <c r="G14" s="131" t="s">
        <v>13</v>
      </c>
      <c r="H14" s="131" t="s">
        <v>16</v>
      </c>
      <c r="I14" s="131" t="s">
        <v>68</v>
      </c>
      <c r="J14" s="131" t="s">
        <v>80</v>
      </c>
      <c r="K14" s="131"/>
      <c r="L14" s="144" t="s">
        <v>86</v>
      </c>
      <c r="M14" s="62"/>
      <c r="N14" s="37"/>
      <c r="O14" s="144" t="s">
        <v>17</v>
      </c>
      <c r="P14" s="37"/>
      <c r="Q14" s="37" t="s">
        <v>7</v>
      </c>
      <c r="R14" s="131" t="s">
        <v>63</v>
      </c>
      <c r="S14" s="131" t="s">
        <v>38</v>
      </c>
      <c r="T14" s="131" t="s">
        <v>59</v>
      </c>
      <c r="U14" s="131"/>
      <c r="V14" s="131" t="s">
        <v>27</v>
      </c>
      <c r="W14" s="131" t="s">
        <v>87</v>
      </c>
      <c r="X14" s="131" t="s">
        <v>87</v>
      </c>
      <c r="Z14" s="152"/>
      <c r="AA14" s="110" t="s">
        <v>12</v>
      </c>
      <c r="AB14" s="74"/>
      <c r="AC14" s="103">
        <v>0.1</v>
      </c>
      <c r="AD14" s="152"/>
      <c r="AN14" s="35">
        <f>E99</f>
        <v>4.2474033136904663E-2</v>
      </c>
      <c r="AO14" s="35">
        <f>$B99</f>
        <v>0.84596606132777619</v>
      </c>
      <c r="AP14" s="35">
        <f t="shared" si="0"/>
        <v>3.9654659124739533E-2</v>
      </c>
      <c r="AR14" s="114">
        <v>4.9484801750667114E-2</v>
      </c>
      <c r="AS14" s="114"/>
      <c r="AT14" s="114"/>
      <c r="AU14" s="45"/>
      <c r="AV14" s="56"/>
    </row>
    <row r="15" spans="1:48" ht="12.4" customHeight="1" x14ac:dyDescent="0.2">
      <c r="A15" s="64" t="s">
        <v>78</v>
      </c>
      <c r="B15" s="64" t="s">
        <v>5</v>
      </c>
      <c r="C15" s="64" t="s">
        <v>5</v>
      </c>
      <c r="D15" s="69" t="s">
        <v>70</v>
      </c>
      <c r="E15" s="64" t="s">
        <v>79</v>
      </c>
      <c r="F15" s="64" t="s">
        <v>54</v>
      </c>
      <c r="G15" s="64" t="s">
        <v>33</v>
      </c>
      <c r="H15" s="64" t="s">
        <v>33</v>
      </c>
      <c r="I15" s="64" t="s">
        <v>76</v>
      </c>
      <c r="J15" s="64" t="s">
        <v>76</v>
      </c>
      <c r="K15" s="64" t="s">
        <v>88</v>
      </c>
      <c r="L15" s="131" t="s">
        <v>74</v>
      </c>
      <c r="M15" s="131" t="s">
        <v>4</v>
      </c>
      <c r="N15" s="131" t="s">
        <v>42</v>
      </c>
      <c r="O15" s="99" t="s">
        <v>1</v>
      </c>
      <c r="P15" s="101"/>
      <c r="Q15" s="101" t="s">
        <v>8</v>
      </c>
      <c r="R15" s="64" t="s">
        <v>34</v>
      </c>
      <c r="S15" s="64" t="s">
        <v>44</v>
      </c>
      <c r="T15" s="64" t="s">
        <v>87</v>
      </c>
      <c r="U15" s="64" t="s">
        <v>27</v>
      </c>
      <c r="V15" s="64" t="s">
        <v>87</v>
      </c>
      <c r="W15" s="64" t="s">
        <v>43</v>
      </c>
      <c r="X15" s="64" t="s">
        <v>43</v>
      </c>
      <c r="Z15" s="8"/>
      <c r="AN15" s="35">
        <f>E95</f>
        <v>6.073942813477607E-2</v>
      </c>
      <c r="AO15" s="35">
        <f>$B95</f>
        <v>0.80631140220303665</v>
      </c>
      <c r="AP15" s="35">
        <f t="shared" si="0"/>
        <v>4.6263768978862863E-2</v>
      </c>
      <c r="AR15" s="114">
        <v>7.1632047862346573E-2</v>
      </c>
      <c r="AS15" s="114"/>
      <c r="AT15" s="114"/>
      <c r="AU15" s="45"/>
      <c r="AV15" s="56"/>
    </row>
    <row r="16" spans="1:48" ht="12.4" customHeight="1" x14ac:dyDescent="0.2">
      <c r="A16" s="156" t="s">
        <v>49</v>
      </c>
      <c r="B16" s="156" t="s">
        <v>25</v>
      </c>
      <c r="C16" s="156" t="s">
        <v>25</v>
      </c>
      <c r="D16" s="7" t="s">
        <v>25</v>
      </c>
      <c r="E16" s="156" t="s">
        <v>55</v>
      </c>
      <c r="F16" s="156" t="s">
        <v>64</v>
      </c>
      <c r="G16" s="156" t="s">
        <v>60</v>
      </c>
      <c r="H16" s="156" t="s">
        <v>60</v>
      </c>
      <c r="I16" s="156" t="s">
        <v>55</v>
      </c>
      <c r="J16" s="156" t="s">
        <v>55</v>
      </c>
      <c r="K16" s="156" t="s">
        <v>69</v>
      </c>
      <c r="L16" s="156" t="s">
        <v>49</v>
      </c>
      <c r="M16" s="156" t="s">
        <v>49</v>
      </c>
      <c r="N16" s="156" t="s">
        <v>49</v>
      </c>
      <c r="O16" s="27" t="s">
        <v>66</v>
      </c>
      <c r="P16" s="27" t="s">
        <v>35</v>
      </c>
      <c r="Q16" s="156" t="s">
        <v>71</v>
      </c>
      <c r="R16" s="156" t="s">
        <v>21</v>
      </c>
      <c r="S16" s="156" t="s">
        <v>20</v>
      </c>
      <c r="T16" s="156"/>
      <c r="U16" s="156"/>
      <c r="V16" s="92"/>
      <c r="W16" s="7" t="s">
        <v>6</v>
      </c>
      <c r="X16" s="7" t="s">
        <v>90</v>
      </c>
      <c r="Z16" s="154" t="s">
        <v>73</v>
      </c>
      <c r="AA16" s="8"/>
      <c r="AB16" s="8"/>
      <c r="AC16" s="77">
        <f>ABS(Table!$AB$4*COS(Table!$AB$3*PI()/180))</f>
        <v>311.75199069797156</v>
      </c>
      <c r="AN16" s="35">
        <f>E91</f>
        <v>8.7335323653103467E-2</v>
      </c>
      <c r="AO16" s="35">
        <f>$B91</f>
        <v>0.76004763322417379</v>
      </c>
      <c r="AP16" s="35">
        <f t="shared" si="0"/>
        <v>0.14087526049419463</v>
      </c>
      <c r="AR16" s="114">
        <v>9.9921582517046942E-2</v>
      </c>
      <c r="AS16" s="114"/>
      <c r="AT16" s="114"/>
      <c r="AU16" s="45"/>
      <c r="AV16" s="56"/>
    </row>
    <row r="17" spans="1:48" ht="12.4" customHeight="1" x14ac:dyDescent="0.2">
      <c r="A17" s="43"/>
      <c r="B17" s="139"/>
      <c r="C17" s="8"/>
      <c r="D17" s="1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152"/>
      <c r="S17" s="152"/>
      <c r="T17" s="152"/>
      <c r="U17" s="152"/>
      <c r="V17" s="152"/>
      <c r="W17" s="152"/>
      <c r="X17" s="152"/>
      <c r="AC17" s="14">
        <f ca="1">FORECAST(200,OFFSET(L$17,MATCH(200,L$18:L136, 1),-9,2,1),OFFSET(L$17,MATCH(200,L$18:L136, 1),0,2,1))</f>
        <v>0.26327382744343719</v>
      </c>
      <c r="AN17" s="35">
        <f>E81</f>
        <v>0.21375841553926667</v>
      </c>
      <c r="AO17" s="35">
        <f>$B81</f>
        <v>0.61917237272997916</v>
      </c>
      <c r="AP17" s="35">
        <f t="shared" si="0"/>
        <v>0.15516522774635311</v>
      </c>
      <c r="AR17" s="114">
        <v>0.25452110435346964</v>
      </c>
      <c r="AS17" s="114"/>
      <c r="AT17" s="114"/>
      <c r="AU17" s="45"/>
      <c r="AV17" s="56"/>
    </row>
    <row r="18" spans="1:48" ht="12.4" customHeight="1" x14ac:dyDescent="0.2">
      <c r="A18" s="43">
        <v>1.5079505443572998</v>
      </c>
      <c r="B18" s="139">
        <v>0</v>
      </c>
      <c r="C18" s="139">
        <f t="shared" ref="C18:C136" si="1">1-B18</f>
        <v>1</v>
      </c>
      <c r="D18" s="49">
        <f t="shared" ref="D18:D136" si="2">B18-B17</f>
        <v>0</v>
      </c>
      <c r="E18" s="42">
        <f>(2*Table!$AC$16*0.147)/A18</f>
        <v>60.781227612652074</v>
      </c>
      <c r="F18" s="42">
        <f t="shared" ref="F18:F136" si="3">E18*2</f>
        <v>121.56245522530415</v>
      </c>
      <c r="G18" s="43">
        <f>IF((('Raw Data'!C18)/('Raw Data'!C$136)*100)&lt;0,0,('Raw Data'!C18)/('Raw Data'!C$136)*100)</f>
        <v>0</v>
      </c>
      <c r="H18" s="43">
        <f t="shared" ref="H18:H136" si="4">G18-G17</f>
        <v>0</v>
      </c>
      <c r="I18" s="21">
        <f t="shared" ref="I18:I136" si="5">IF(E17&gt;0,LOG(E17)-LOG(E18), LOG(E18))</f>
        <v>1.7837694673796043</v>
      </c>
      <c r="J18" s="42">
        <f>'Raw Data'!F18/I18</f>
        <v>0</v>
      </c>
      <c r="K18" s="143">
        <f t="shared" ref="K18:K136" si="6">(0.2166095*A18*(SQRT(P$9/P$10)))/(485*-COS(RADIANS(130)))</f>
        <v>3.2746648976365225E-3</v>
      </c>
      <c r="L18" s="43">
        <f>A18*Table!$AC$9/$AC$16</f>
        <v>0.33859138435229819</v>
      </c>
      <c r="M18" s="43">
        <f>A18*Table!$AD$9/$AC$16</f>
        <v>0.11608847463507367</v>
      </c>
      <c r="N18" s="43">
        <f>ABS(A18*Table!$AE$9/$AC$16)</f>
        <v>0.14661437017581555</v>
      </c>
      <c r="O18" s="43">
        <f>($L18*(Table!$AC$10/Table!$AC$9)/(Table!$AC$12-Table!$AC$14))</f>
        <v>0.72627924571492541</v>
      </c>
      <c r="P18" s="43">
        <f>ROUND(($N18*(Table!$AE$10/Table!$AE$9)/(Table!$AC$12-Table!$AC$13)),2)</f>
        <v>1.2</v>
      </c>
      <c r="Q18" s="43">
        <f>'Raw Data'!C18</f>
        <v>0</v>
      </c>
      <c r="R18" s="43">
        <f>'Raw Data'!C18/'Raw Data'!I$30*100</f>
        <v>0</v>
      </c>
      <c r="S18" s="13">
        <f t="shared" ref="S18:S136" si="7">D18/MAX($D$18:$D$136)</f>
        <v>0</v>
      </c>
      <c r="T18" s="13">
        <f t="shared" ref="T18:T136" si="8">1-(X18/$X$136)</f>
        <v>1</v>
      </c>
      <c r="U18" s="53">
        <f t="shared" ref="U18:U136" si="9">R18/A18</f>
        <v>0</v>
      </c>
      <c r="V18" s="53">
        <f t="shared" ref="V18:V136" si="10">(U18^1.691)*399</f>
        <v>0</v>
      </c>
      <c r="W18" s="53">
        <f t="shared" ref="W18:W136" si="11">((E18*E18)/8)*S18</f>
        <v>0</v>
      </c>
      <c r="X18" s="95">
        <f t="shared" ref="X18:X136" si="12">W18+X17</f>
        <v>0</v>
      </c>
      <c r="Z18" s="133"/>
      <c r="AA18" s="8"/>
      <c r="AB18" s="8"/>
      <c r="AC18" s="36"/>
      <c r="AN18" s="35">
        <f>E73</f>
        <v>0.44217834913327764</v>
      </c>
      <c r="AO18" s="35">
        <f>$B73</f>
        <v>0.46400714498362605</v>
      </c>
      <c r="AP18" s="35">
        <f t="shared" si="0"/>
        <v>0.22363798749627861</v>
      </c>
      <c r="AR18" s="114">
        <v>0.47874420207019219</v>
      </c>
      <c r="AS18" s="114"/>
      <c r="AT18" s="114"/>
      <c r="AU18" s="45"/>
      <c r="AV18" s="56"/>
    </row>
    <row r="19" spans="1:48" ht="12.4" customHeight="1" x14ac:dyDescent="0.2">
      <c r="A19" s="43">
        <v>1.5989933013916016</v>
      </c>
      <c r="B19" s="139">
        <v>0</v>
      </c>
      <c r="C19" s="139">
        <f t="shared" si="1"/>
        <v>1</v>
      </c>
      <c r="D19" s="49">
        <f t="shared" si="2"/>
        <v>0</v>
      </c>
      <c r="E19" s="42">
        <f>(2*Table!$AC$16*0.147)/A19</f>
        <v>57.320493578951428</v>
      </c>
      <c r="F19" s="42">
        <f t="shared" si="3"/>
        <v>114.64098715790286</v>
      </c>
      <c r="G19" s="43">
        <f>IF((('Raw Data'!C19)/('Raw Data'!C$136)*100)&lt;0,0,('Raw Data'!C19)/('Raw Data'!C$136)*100)</f>
        <v>0</v>
      </c>
      <c r="H19" s="43">
        <f t="shared" si="4"/>
        <v>0</v>
      </c>
      <c r="I19" s="21">
        <f t="shared" si="5"/>
        <v>2.5459545987652543E-2</v>
      </c>
      <c r="J19" s="42">
        <f>'Raw Data'!F19/I19</f>
        <v>0</v>
      </c>
      <c r="K19" s="143">
        <f t="shared" si="6"/>
        <v>3.4723733183535596E-3</v>
      </c>
      <c r="L19" s="43">
        <f>A19*Table!$AC$9/$AC$16</f>
        <v>0.35903389372692268</v>
      </c>
      <c r="M19" s="43">
        <f>A19*Table!$AD$9/$AC$16</f>
        <v>0.12309733499208778</v>
      </c>
      <c r="N19" s="43">
        <f>ABS(A19*Table!$AE$9/$AC$16)</f>
        <v>0.15546623639357873</v>
      </c>
      <c r="O19" s="43">
        <f>($L19*(Table!$AC$10/Table!$AC$9)/(Table!$AC$12-Table!$AC$14))</f>
        <v>0.77012847217272151</v>
      </c>
      <c r="P19" s="43">
        <f>ROUND(($N19*(Table!$AE$10/Table!$AE$9)/(Table!$AC$12-Table!$AC$13)),2)</f>
        <v>1.28</v>
      </c>
      <c r="Q19" s="43">
        <f>'Raw Data'!C19</f>
        <v>0</v>
      </c>
      <c r="R19" s="43">
        <f>'Raw Data'!C19/'Raw Data'!I$30*100</f>
        <v>0</v>
      </c>
      <c r="S19" s="13">
        <f t="shared" si="7"/>
        <v>0</v>
      </c>
      <c r="T19" s="13">
        <f t="shared" si="8"/>
        <v>1</v>
      </c>
      <c r="U19" s="53">
        <f t="shared" si="9"/>
        <v>0</v>
      </c>
      <c r="V19" s="53">
        <f t="shared" si="10"/>
        <v>0</v>
      </c>
      <c r="W19" s="53">
        <f t="shared" si="11"/>
        <v>0</v>
      </c>
      <c r="X19" s="95">
        <f t="shared" si="12"/>
        <v>0</v>
      </c>
      <c r="AN19" s="35">
        <f>E68</f>
        <v>0.69398094653352937</v>
      </c>
      <c r="AO19" s="35">
        <f>$B68</f>
        <v>0.24036915748734744</v>
      </c>
      <c r="AP19" s="35">
        <f t="shared" si="0"/>
        <v>0.21262280440607326</v>
      </c>
      <c r="AR19" s="114">
        <v>0.74938444802644799</v>
      </c>
      <c r="AS19" s="114"/>
      <c r="AT19" s="114"/>
      <c r="AU19" s="45"/>
      <c r="AV19" s="56"/>
    </row>
    <row r="20" spans="1:48" ht="12.4" customHeight="1" x14ac:dyDescent="0.2">
      <c r="A20" s="43">
        <v>1.8068345785140991</v>
      </c>
      <c r="B20" s="139">
        <v>0</v>
      </c>
      <c r="C20" s="139">
        <f t="shared" si="1"/>
        <v>1</v>
      </c>
      <c r="D20" s="49">
        <f t="shared" si="2"/>
        <v>0</v>
      </c>
      <c r="E20" s="42">
        <f>(2*Table!$AC$16*0.147)/A20</f>
        <v>50.72688244685839</v>
      </c>
      <c r="F20" s="42">
        <f t="shared" si="3"/>
        <v>101.45376489371678</v>
      </c>
      <c r="G20" s="43">
        <f>IF((('Raw Data'!C20)/('Raw Data'!C$136)*100)&lt;0,0,('Raw Data'!C20)/('Raw Data'!C$136)*100)</f>
        <v>0</v>
      </c>
      <c r="H20" s="43">
        <f t="shared" si="4"/>
        <v>0</v>
      </c>
      <c r="I20" s="21">
        <f t="shared" si="5"/>
        <v>5.3071748956874165E-2</v>
      </c>
      <c r="J20" s="42">
        <f>'Raw Data'!F20/I20</f>
        <v>0</v>
      </c>
      <c r="K20" s="143">
        <f t="shared" si="6"/>
        <v>3.9237213662187955E-3</v>
      </c>
      <c r="L20" s="43">
        <f>A20*Table!$AC$9/$AC$16</f>
        <v>0.40570204608098392</v>
      </c>
      <c r="M20" s="43">
        <f>A20*Table!$AD$9/$AC$16</f>
        <v>0.13909784437062306</v>
      </c>
      <c r="N20" s="43">
        <f>ABS(A20*Table!$AE$9/$AC$16)</f>
        <v>0.17567413913672855</v>
      </c>
      <c r="O20" s="43">
        <f>($L20*(Table!$AC$10/Table!$AC$9)/(Table!$AC$12-Table!$AC$14))</f>
        <v>0.87023175907546968</v>
      </c>
      <c r="P20" s="43">
        <f>ROUND(($N20*(Table!$AE$10/Table!$AE$9)/(Table!$AC$12-Table!$AC$13)),2)</f>
        <v>1.44</v>
      </c>
      <c r="Q20" s="43">
        <f>'Raw Data'!C20</f>
        <v>0</v>
      </c>
      <c r="R20" s="43">
        <f>'Raw Data'!C20/'Raw Data'!I$30*100</f>
        <v>0</v>
      </c>
      <c r="S20" s="13">
        <f t="shared" si="7"/>
        <v>0</v>
      </c>
      <c r="T20" s="13">
        <f t="shared" si="8"/>
        <v>1</v>
      </c>
      <c r="U20" s="53">
        <f t="shared" si="9"/>
        <v>0</v>
      </c>
      <c r="V20" s="53">
        <f t="shared" si="10"/>
        <v>0</v>
      </c>
      <c r="W20" s="53">
        <f t="shared" si="11"/>
        <v>0</v>
      </c>
      <c r="X20" s="95">
        <f t="shared" si="12"/>
        <v>0</v>
      </c>
      <c r="AN20" s="52">
        <f>E64</f>
        <v>0.97955324326512316</v>
      </c>
      <c r="AO20" s="35">
        <f>$B64</f>
        <v>2.774635308127419E-2</v>
      </c>
      <c r="AP20" s="35">
        <f t="shared" si="0"/>
        <v>2.774635308127419E-2</v>
      </c>
      <c r="AR20" s="130">
        <v>1.0742552826940897</v>
      </c>
      <c r="AS20" s="114"/>
      <c r="AT20" s="114"/>
      <c r="AU20" s="45"/>
      <c r="AV20" s="56"/>
    </row>
    <row r="21" spans="1:48" ht="12.4" customHeight="1" x14ac:dyDescent="0.2">
      <c r="A21" s="43">
        <v>2.0094594955444336</v>
      </c>
      <c r="B21" s="139">
        <v>0</v>
      </c>
      <c r="C21" s="139">
        <f t="shared" si="1"/>
        <v>1</v>
      </c>
      <c r="D21" s="49">
        <f t="shared" si="2"/>
        <v>0</v>
      </c>
      <c r="E21" s="42">
        <f>(2*Table!$AC$16*0.147)/A21</f>
        <v>45.611810274568903</v>
      </c>
      <c r="F21" s="42">
        <f t="shared" si="3"/>
        <v>91.223620549137806</v>
      </c>
      <c r="G21" s="43">
        <f>IF((('Raw Data'!C21)/('Raw Data'!C$136)*100)&lt;0,0,('Raw Data'!C21)/('Raw Data'!C$136)*100)</f>
        <v>0</v>
      </c>
      <c r="H21" s="43">
        <f t="shared" si="4"/>
        <v>0</v>
      </c>
      <c r="I21" s="21">
        <f t="shared" si="5"/>
        <v>4.6160863258065676E-2</v>
      </c>
      <c r="J21" s="42">
        <f>'Raw Data'!F21/I21</f>
        <v>0</v>
      </c>
      <c r="K21" s="143">
        <f t="shared" si="6"/>
        <v>4.363741568253041E-3</v>
      </c>
      <c r="L21" s="43">
        <f>A21*Table!$AC$9/$AC$16</f>
        <v>0.4511989301918693</v>
      </c>
      <c r="M21" s="43">
        <f>A21*Table!$AD$9/$AC$16</f>
        <v>0.15469677606578375</v>
      </c>
      <c r="N21" s="43">
        <f>ABS(A21*Table!$AE$9/$AC$16)</f>
        <v>0.19537486785326019</v>
      </c>
      <c r="O21" s="43">
        <f>($L21*(Table!$AC$10/Table!$AC$9)/(Table!$AC$12-Table!$AC$14))</f>
        <v>0.96782267308423287</v>
      </c>
      <c r="P21" s="43">
        <f>ROUND(($N21*(Table!$AE$10/Table!$AE$9)/(Table!$AC$12-Table!$AC$13)),2)</f>
        <v>1.6</v>
      </c>
      <c r="Q21" s="43">
        <f>'Raw Data'!C21</f>
        <v>0</v>
      </c>
      <c r="R21" s="43">
        <f>'Raw Data'!C21/'Raw Data'!I$30*100</f>
        <v>0</v>
      </c>
      <c r="S21" s="13">
        <f t="shared" si="7"/>
        <v>0</v>
      </c>
      <c r="T21" s="13">
        <f t="shared" si="8"/>
        <v>1</v>
      </c>
      <c r="U21" s="53">
        <f t="shared" si="9"/>
        <v>0</v>
      </c>
      <c r="V21" s="53">
        <f t="shared" si="10"/>
        <v>0</v>
      </c>
      <c r="W21" s="53">
        <f t="shared" si="11"/>
        <v>0</v>
      </c>
      <c r="X21" s="95">
        <f t="shared" si="12"/>
        <v>0</v>
      </c>
      <c r="AN21" s="52">
        <f>$E55</f>
        <v>2.2459224000871139</v>
      </c>
      <c r="AO21" s="35">
        <f>$B55</f>
        <v>0</v>
      </c>
      <c r="AP21" s="35">
        <f t="shared" si="0"/>
        <v>0</v>
      </c>
      <c r="AR21" s="130">
        <v>2.3818202604521379</v>
      </c>
      <c r="AS21" s="114"/>
      <c r="AT21" s="114"/>
      <c r="AU21" s="45"/>
      <c r="AV21" s="56"/>
    </row>
    <row r="22" spans="1:48" ht="12.4" customHeight="1" x14ac:dyDescent="0.2">
      <c r="A22" s="43">
        <v>2.1648108959197998</v>
      </c>
      <c r="B22" s="139">
        <v>0</v>
      </c>
      <c r="C22" s="139">
        <f t="shared" si="1"/>
        <v>1</v>
      </c>
      <c r="D22" s="49">
        <f t="shared" si="2"/>
        <v>0</v>
      </c>
      <c r="E22" s="42">
        <f>(2*Table!$AC$16*0.147)/A22</f>
        <v>42.3386104707592</v>
      </c>
      <c r="F22" s="42">
        <f t="shared" si="3"/>
        <v>84.677220941518399</v>
      </c>
      <c r="G22" s="43">
        <f>IF((('Raw Data'!C22)/('Raw Data'!C$136)*100)&lt;0,0,('Raw Data'!C22)/('Raw Data'!C$136)*100)</f>
        <v>0</v>
      </c>
      <c r="H22" s="43">
        <f t="shared" si="4"/>
        <v>0</v>
      </c>
      <c r="I22" s="21">
        <f t="shared" si="5"/>
        <v>3.2340708558906917E-2</v>
      </c>
      <c r="J22" s="42">
        <f>'Raw Data'!F22/I22</f>
        <v>0</v>
      </c>
      <c r="K22" s="143">
        <f t="shared" si="6"/>
        <v>4.7011026173348668E-3</v>
      </c>
      <c r="L22" s="43">
        <f>A22*Table!$AC$9/$AC$16</f>
        <v>0.48608113896920169</v>
      </c>
      <c r="M22" s="43">
        <f>A22*Table!$AD$9/$AC$16</f>
        <v>0.1666563905037263</v>
      </c>
      <c r="N22" s="43">
        <f>ABS(A22*Table!$AE$9/$AC$16)</f>
        <v>0.21047930732390135</v>
      </c>
      <c r="O22" s="43">
        <f>($L22*(Table!$AC$10/Table!$AC$9)/(Table!$AC$12-Table!$AC$14))</f>
        <v>1.0426450857340235</v>
      </c>
      <c r="P22" s="43">
        <f>ROUND(($N22*(Table!$AE$10/Table!$AE$9)/(Table!$AC$12-Table!$AC$13)),2)</f>
        <v>1.73</v>
      </c>
      <c r="Q22" s="43">
        <f>'Raw Data'!C22</f>
        <v>0</v>
      </c>
      <c r="R22" s="43">
        <f>'Raw Data'!C22/'Raw Data'!I$30*100</f>
        <v>0</v>
      </c>
      <c r="S22" s="13">
        <f t="shared" si="7"/>
        <v>0</v>
      </c>
      <c r="T22" s="13">
        <f t="shared" si="8"/>
        <v>1</v>
      </c>
      <c r="U22" s="53">
        <f t="shared" si="9"/>
        <v>0</v>
      </c>
      <c r="V22" s="53">
        <f t="shared" si="10"/>
        <v>0</v>
      </c>
      <c r="W22" s="53">
        <f t="shared" si="11"/>
        <v>0</v>
      </c>
      <c r="X22" s="95">
        <f t="shared" si="12"/>
        <v>0</v>
      </c>
      <c r="AN22" s="52">
        <f>$E47</f>
        <v>4.5224574755300599</v>
      </c>
      <c r="AO22" s="35">
        <f>$B47</f>
        <v>0</v>
      </c>
      <c r="AP22" s="35">
        <f t="shared" si="0"/>
        <v>0</v>
      </c>
      <c r="AR22" s="130">
        <v>4.9092259390712378</v>
      </c>
      <c r="AS22" s="114"/>
      <c r="AT22" s="114"/>
      <c r="AU22" s="45"/>
      <c r="AV22" s="56"/>
    </row>
    <row r="23" spans="1:48" ht="12.4" customHeight="1" x14ac:dyDescent="0.2">
      <c r="A23" s="43">
        <v>2.3579812049865723</v>
      </c>
      <c r="B23" s="139">
        <v>0</v>
      </c>
      <c r="C23" s="139">
        <f t="shared" si="1"/>
        <v>1</v>
      </c>
      <c r="D23" s="49">
        <f t="shared" si="2"/>
        <v>0</v>
      </c>
      <c r="E23" s="42">
        <f>(2*Table!$AC$16*0.147)/A23</f>
        <v>38.870150903397715</v>
      </c>
      <c r="F23" s="42">
        <f t="shared" si="3"/>
        <v>77.740301806795429</v>
      </c>
      <c r="G23" s="43">
        <f>IF((('Raw Data'!C23)/('Raw Data'!C$136)*100)&lt;0,0,('Raw Data'!C23)/('Raw Data'!C$136)*100)</f>
        <v>0</v>
      </c>
      <c r="H23" s="43">
        <f t="shared" si="4"/>
        <v>0</v>
      </c>
      <c r="I23" s="21">
        <f t="shared" si="5"/>
        <v>3.7120373946557761E-2</v>
      </c>
      <c r="J23" s="42">
        <f>'Raw Data'!F23/I23</f>
        <v>0</v>
      </c>
      <c r="K23" s="143">
        <f t="shared" si="6"/>
        <v>5.1205911958785112E-3</v>
      </c>
      <c r="L23" s="43">
        <f>A23*Table!$AC$9/$AC$16</f>
        <v>0.5294551094269373</v>
      </c>
      <c r="M23" s="43">
        <f>A23*Table!$AD$9/$AC$16</f>
        <v>0.18152746608923562</v>
      </c>
      <c r="N23" s="43">
        <f>ABS(A23*Table!$AE$9/$AC$16)</f>
        <v>0.22926078746359874</v>
      </c>
      <c r="O23" s="43">
        <f>($L23*(Table!$AC$10/Table!$AC$9)/(Table!$AC$12-Table!$AC$14))</f>
        <v>1.135682345403126</v>
      </c>
      <c r="P23" s="43">
        <f>ROUND(($N23*(Table!$AE$10/Table!$AE$9)/(Table!$AC$12-Table!$AC$13)),2)</f>
        <v>1.88</v>
      </c>
      <c r="Q23" s="43">
        <f>'Raw Data'!C23</f>
        <v>0</v>
      </c>
      <c r="R23" s="43">
        <f>'Raw Data'!C23/'Raw Data'!I$30*100</f>
        <v>0</v>
      </c>
      <c r="S23" s="13">
        <f t="shared" si="7"/>
        <v>0</v>
      </c>
      <c r="T23" s="13">
        <f t="shared" si="8"/>
        <v>1</v>
      </c>
      <c r="U23" s="53">
        <f t="shared" si="9"/>
        <v>0</v>
      </c>
      <c r="V23" s="53">
        <f t="shared" si="10"/>
        <v>0</v>
      </c>
      <c r="W23" s="53">
        <f t="shared" si="11"/>
        <v>0</v>
      </c>
      <c r="X23" s="95">
        <f t="shared" si="12"/>
        <v>0</v>
      </c>
      <c r="AN23" s="52">
        <f>$E42</f>
        <v>7.1138420144988572</v>
      </c>
      <c r="AO23" s="35">
        <f>$B42</f>
        <v>0</v>
      </c>
      <c r="AP23" s="35">
        <f t="shared" si="0"/>
        <v>0</v>
      </c>
      <c r="AR23" s="130">
        <v>7.6545393934362336</v>
      </c>
      <c r="AS23" s="114"/>
      <c r="AT23" s="114"/>
      <c r="AU23" s="45"/>
      <c r="AV23" s="56"/>
    </row>
    <row r="24" spans="1:48" ht="12.4" customHeight="1" x14ac:dyDescent="0.2">
      <c r="A24" s="43">
        <v>2.5763368606567383</v>
      </c>
      <c r="B24" s="139">
        <v>0</v>
      </c>
      <c r="C24" s="139">
        <f t="shared" si="1"/>
        <v>1</v>
      </c>
      <c r="D24" s="49">
        <f t="shared" si="2"/>
        <v>0</v>
      </c>
      <c r="E24" s="42">
        <f>(2*Table!$AC$16*0.147)/A24</f>
        <v>35.575738042982351</v>
      </c>
      <c r="F24" s="42">
        <f t="shared" si="3"/>
        <v>71.151476085964703</v>
      </c>
      <c r="G24" s="43">
        <f>IF((('Raw Data'!C24)/('Raw Data'!C$136)*100)&lt;0,0,('Raw Data'!C24)/('Raw Data'!C$136)*100)</f>
        <v>0</v>
      </c>
      <c r="H24" s="43">
        <f t="shared" si="4"/>
        <v>0</v>
      </c>
      <c r="I24" s="21">
        <f t="shared" si="5"/>
        <v>3.8462308086136598E-2</v>
      </c>
      <c r="J24" s="42">
        <f>'Raw Data'!F24/I24</f>
        <v>0</v>
      </c>
      <c r="K24" s="143">
        <f t="shared" si="6"/>
        <v>5.5947722646802443E-3</v>
      </c>
      <c r="L24" s="43">
        <f>A24*Table!$AC$9/$AC$16</f>
        <v>0.57848413362880602</v>
      </c>
      <c r="M24" s="43">
        <f>A24*Table!$AD$9/$AC$16</f>
        <v>0.19833741724416207</v>
      </c>
      <c r="N24" s="43">
        <f>ABS(A24*Table!$AE$9/$AC$16)</f>
        <v>0.250490977704389</v>
      </c>
      <c r="O24" s="43">
        <f>($L24*(Table!$AC$10/Table!$AC$9)/(Table!$AC$12-Table!$AC$14))</f>
        <v>1.2408497074834965</v>
      </c>
      <c r="P24" s="43">
        <f>ROUND(($N24*(Table!$AE$10/Table!$AE$9)/(Table!$AC$12-Table!$AC$13)),2)</f>
        <v>2.06</v>
      </c>
      <c r="Q24" s="43">
        <f>'Raw Data'!C24</f>
        <v>0</v>
      </c>
      <c r="R24" s="43">
        <f>'Raw Data'!C24/'Raw Data'!I$30*100</f>
        <v>0</v>
      </c>
      <c r="S24" s="13">
        <f t="shared" si="7"/>
        <v>0</v>
      </c>
      <c r="T24" s="13">
        <f t="shared" si="8"/>
        <v>1</v>
      </c>
      <c r="U24" s="53">
        <f t="shared" si="9"/>
        <v>0</v>
      </c>
      <c r="V24" s="53">
        <f t="shared" si="10"/>
        <v>0</v>
      </c>
      <c r="W24" s="53">
        <f t="shared" si="11"/>
        <v>0</v>
      </c>
      <c r="X24" s="95">
        <f t="shared" si="12"/>
        <v>0</v>
      </c>
      <c r="AN24" s="80">
        <f>$E39</f>
        <v>9.2790059501843363</v>
      </c>
      <c r="AO24" s="35">
        <f>$B39</f>
        <v>0</v>
      </c>
      <c r="AP24" s="35">
        <f t="shared" si="0"/>
        <v>0</v>
      </c>
      <c r="AR24" s="3">
        <v>10.01194107647434</v>
      </c>
      <c r="AS24" s="114"/>
      <c r="AT24" s="114"/>
      <c r="AU24" s="45"/>
      <c r="AV24" s="56"/>
    </row>
    <row r="25" spans="1:48" ht="12.4" customHeight="1" x14ac:dyDescent="0.2">
      <c r="A25" s="43">
        <v>2.8118090629577637</v>
      </c>
      <c r="B25" s="139">
        <v>0</v>
      </c>
      <c r="C25" s="139">
        <f t="shared" si="1"/>
        <v>1</v>
      </c>
      <c r="D25" s="49">
        <f t="shared" si="2"/>
        <v>0</v>
      </c>
      <c r="E25" s="42">
        <f>(2*Table!$AC$16*0.147)/A25</f>
        <v>32.596482624887393</v>
      </c>
      <c r="F25" s="42">
        <f t="shared" si="3"/>
        <v>65.192965249774787</v>
      </c>
      <c r="G25" s="43">
        <f>IF((('Raw Data'!C25)/('Raw Data'!C$136)*100)&lt;0,0,('Raw Data'!C25)/('Raw Data'!C$136)*100)</f>
        <v>0</v>
      </c>
      <c r="H25" s="43">
        <f t="shared" si="4"/>
        <v>0</v>
      </c>
      <c r="I25" s="21">
        <f t="shared" si="5"/>
        <v>3.7983179223515018E-2</v>
      </c>
      <c r="J25" s="42">
        <f>'Raw Data'!F25/I25</f>
        <v>0</v>
      </c>
      <c r="K25" s="143">
        <f t="shared" si="6"/>
        <v>6.1061236204191542E-3</v>
      </c>
      <c r="L25" s="43">
        <f>A25*Table!$AC$9/$AC$16</f>
        <v>0.63135646372738341</v>
      </c>
      <c r="M25" s="43">
        <f>A25*Table!$AD$9/$AC$16</f>
        <v>0.21646507327796002</v>
      </c>
      <c r="N25" s="43">
        <f>ABS(A25*Table!$AE$9/$AC$16)</f>
        <v>0.27338536821571124</v>
      </c>
      <c r="O25" s="43">
        <f>($L25*(Table!$AC$10/Table!$AC$9)/(Table!$AC$12-Table!$AC$14))</f>
        <v>1.3542609689562066</v>
      </c>
      <c r="P25" s="43">
        <f>ROUND(($N25*(Table!$AE$10/Table!$AE$9)/(Table!$AC$12-Table!$AC$13)),2)</f>
        <v>2.2400000000000002</v>
      </c>
      <c r="Q25" s="43">
        <f>'Raw Data'!C25</f>
        <v>0</v>
      </c>
      <c r="R25" s="43">
        <f>'Raw Data'!C25/'Raw Data'!I$30*100</f>
        <v>0</v>
      </c>
      <c r="S25" s="13">
        <f t="shared" si="7"/>
        <v>0</v>
      </c>
      <c r="T25" s="13">
        <f t="shared" si="8"/>
        <v>1</v>
      </c>
      <c r="U25" s="53">
        <f t="shared" si="9"/>
        <v>0</v>
      </c>
      <c r="V25" s="53">
        <f t="shared" si="10"/>
        <v>0</v>
      </c>
      <c r="W25" s="53">
        <f t="shared" si="11"/>
        <v>0</v>
      </c>
      <c r="X25" s="95">
        <f t="shared" si="12"/>
        <v>0</v>
      </c>
      <c r="AN25" s="80">
        <f>$E29</f>
        <v>22.693604123131678</v>
      </c>
      <c r="AO25" s="35">
        <f>$B29</f>
        <v>0</v>
      </c>
      <c r="AP25" s="35">
        <f t="shared" si="0"/>
        <v>0</v>
      </c>
      <c r="AR25" s="3">
        <v>23.954008145687514</v>
      </c>
      <c r="AS25" s="114"/>
      <c r="AT25" s="114"/>
      <c r="AU25" s="45"/>
      <c r="AV25" s="56"/>
    </row>
    <row r="26" spans="1:48" ht="12.4" customHeight="1" x14ac:dyDescent="0.2">
      <c r="A26" s="43">
        <v>3.0808615684509277</v>
      </c>
      <c r="B26" s="139">
        <v>0</v>
      </c>
      <c r="C26" s="139">
        <f t="shared" si="1"/>
        <v>1</v>
      </c>
      <c r="D26" s="49">
        <f t="shared" si="2"/>
        <v>0</v>
      </c>
      <c r="E26" s="42">
        <f>(2*Table!$AC$16*0.147)/A26</f>
        <v>29.749822648243253</v>
      </c>
      <c r="F26" s="42">
        <f t="shared" si="3"/>
        <v>59.499645296486506</v>
      </c>
      <c r="G26" s="43">
        <f>IF((('Raw Data'!C26)/('Raw Data'!C$136)*100)&lt;0,0,('Raw Data'!C26)/('Raw Data'!C$136)*100)</f>
        <v>0</v>
      </c>
      <c r="H26" s="43">
        <f t="shared" si="4"/>
        <v>0</v>
      </c>
      <c r="I26" s="21">
        <f t="shared" si="5"/>
        <v>3.968635830972711E-2</v>
      </c>
      <c r="J26" s="42">
        <f>'Raw Data'!F26/I26</f>
        <v>0</v>
      </c>
      <c r="K26" s="143">
        <f t="shared" si="6"/>
        <v>6.6903979513357132E-3</v>
      </c>
      <c r="L26" s="43">
        <f>A26*Table!$AC$9/$AC$16</f>
        <v>0.691768829795537</v>
      </c>
      <c r="M26" s="43">
        <f>A26*Table!$AD$9/$AC$16</f>
        <v>0.23717788450132699</v>
      </c>
      <c r="N26" s="43">
        <f>ABS(A26*Table!$AE$9/$AC$16)</f>
        <v>0.29954469007458429</v>
      </c>
      <c r="O26" s="43">
        <f>($L26*(Table!$AC$10/Table!$AC$9)/(Table!$AC$12-Table!$AC$14))</f>
        <v>1.4838456237570508</v>
      </c>
      <c r="P26" s="43">
        <f>ROUND(($N26*(Table!$AE$10/Table!$AE$9)/(Table!$AC$12-Table!$AC$13)),2)</f>
        <v>2.46</v>
      </c>
      <c r="Q26" s="43">
        <f>'Raw Data'!C26</f>
        <v>0</v>
      </c>
      <c r="R26" s="43">
        <f>'Raw Data'!C26/'Raw Data'!I$30*100</f>
        <v>0</v>
      </c>
      <c r="S26" s="13">
        <f t="shared" si="7"/>
        <v>0</v>
      </c>
      <c r="T26" s="13">
        <f t="shared" si="8"/>
        <v>1</v>
      </c>
      <c r="U26" s="53">
        <f t="shared" si="9"/>
        <v>0</v>
      </c>
      <c r="V26" s="53">
        <f t="shared" si="10"/>
        <v>0</v>
      </c>
      <c r="W26" s="53">
        <f t="shared" si="11"/>
        <v>0</v>
      </c>
      <c r="X26" s="95">
        <f t="shared" si="12"/>
        <v>0</v>
      </c>
      <c r="AN26" s="80">
        <f>$E21</f>
        <v>45.611810274568903</v>
      </c>
      <c r="AO26" s="35">
        <f>$B22</f>
        <v>0</v>
      </c>
      <c r="AP26" s="35">
        <f t="shared" si="0"/>
        <v>0</v>
      </c>
      <c r="AR26" s="3">
        <v>51.76790385987443</v>
      </c>
      <c r="AS26" s="114"/>
      <c r="AT26" s="114"/>
      <c r="AU26" s="45"/>
      <c r="AV26" s="56"/>
    </row>
    <row r="27" spans="1:48" ht="12.4" customHeight="1" x14ac:dyDescent="0.2">
      <c r="A27" s="43">
        <v>3.3865108489990234</v>
      </c>
      <c r="B27" s="139">
        <v>0</v>
      </c>
      <c r="C27" s="139">
        <f t="shared" si="1"/>
        <v>1</v>
      </c>
      <c r="D27" s="49">
        <f t="shared" si="2"/>
        <v>0</v>
      </c>
      <c r="E27" s="42">
        <f>(2*Table!$AC$16*0.147)/A27</f>
        <v>27.064754655162208</v>
      </c>
      <c r="F27" s="42">
        <f t="shared" si="3"/>
        <v>54.129509310324416</v>
      </c>
      <c r="G27" s="43">
        <f>IF((('Raw Data'!C27)/('Raw Data'!C$136)*100)&lt;0,0,('Raw Data'!C27)/('Raw Data'!C$136)*100)</f>
        <v>0</v>
      </c>
      <c r="H27" s="43">
        <f t="shared" si="4"/>
        <v>0</v>
      </c>
      <c r="I27" s="21">
        <f t="shared" si="5"/>
        <v>4.1080286532243937E-2</v>
      </c>
      <c r="J27" s="42">
        <f>'Raw Data'!F27/I27</f>
        <v>0</v>
      </c>
      <c r="K27" s="143">
        <f t="shared" si="6"/>
        <v>7.3541458267179895E-3</v>
      </c>
      <c r="L27" s="43">
        <f>A27*Table!$AC$9/$AC$16</f>
        <v>0.76039854276213303</v>
      </c>
      <c r="M27" s="43">
        <f>A27*Table!$AD$9/$AC$16</f>
        <v>0.26070807180415989</v>
      </c>
      <c r="N27" s="43">
        <f>ABS(A27*Table!$AE$9/$AC$16)</f>
        <v>0.32926222751633755</v>
      </c>
      <c r="O27" s="43">
        <f>($L27*(Table!$AC$10/Table!$AC$9)/(Table!$AC$12-Table!$AC$14))</f>
        <v>1.6310565052812807</v>
      </c>
      <c r="P27" s="43">
        <f>ROUND(($N27*(Table!$AE$10/Table!$AE$9)/(Table!$AC$12-Table!$AC$13)),2)</f>
        <v>2.7</v>
      </c>
      <c r="Q27" s="43">
        <f>'Raw Data'!C27</f>
        <v>0</v>
      </c>
      <c r="R27" s="43">
        <f>'Raw Data'!C27/'Raw Data'!I$30*100</f>
        <v>0</v>
      </c>
      <c r="S27" s="13">
        <f t="shared" si="7"/>
        <v>0</v>
      </c>
      <c r="T27" s="13">
        <f t="shared" si="8"/>
        <v>1</v>
      </c>
      <c r="U27" s="53">
        <f t="shared" si="9"/>
        <v>0</v>
      </c>
      <c r="V27" s="53">
        <f t="shared" si="10"/>
        <v>0</v>
      </c>
      <c r="W27" s="53">
        <f t="shared" si="11"/>
        <v>0</v>
      </c>
      <c r="X27" s="95">
        <f t="shared" si="12"/>
        <v>0</v>
      </c>
      <c r="AN27" s="80">
        <f>$E18</f>
        <v>60.781227612652074</v>
      </c>
      <c r="AO27" s="35">
        <f>$B18</f>
        <v>0</v>
      </c>
      <c r="AP27" s="35">
        <f t="shared" si="0"/>
        <v>0</v>
      </c>
      <c r="AR27" s="3">
        <v>72.33793188366559</v>
      </c>
      <c r="AS27" s="114"/>
      <c r="AT27" s="114"/>
      <c r="AU27" s="45"/>
      <c r="AV27" s="56"/>
    </row>
    <row r="28" spans="1:48" ht="12.4" customHeight="1" x14ac:dyDescent="0.2">
      <c r="A28" s="43">
        <v>3.6919970512390137</v>
      </c>
      <c r="B28" s="139">
        <v>0</v>
      </c>
      <c r="C28" s="139">
        <f t="shared" si="1"/>
        <v>1</v>
      </c>
      <c r="D28" s="49">
        <f t="shared" si="2"/>
        <v>0</v>
      </c>
      <c r="E28" s="42">
        <f>(2*Table!$AC$16*0.147)/A28</f>
        <v>24.825340863813718</v>
      </c>
      <c r="F28" s="42">
        <f t="shared" si="3"/>
        <v>49.650681727627436</v>
      </c>
      <c r="G28" s="43">
        <f>IF((('Raw Data'!C28)/('Raw Data'!C$136)*100)&lt;0,0,('Raw Data'!C28)/('Raw Data'!C$136)*100)</f>
        <v>0</v>
      </c>
      <c r="H28" s="43">
        <f t="shared" si="4"/>
        <v>0</v>
      </c>
      <c r="I28" s="21">
        <f t="shared" si="5"/>
        <v>3.7508874240438361E-2</v>
      </c>
      <c r="J28" s="42">
        <f>'Raw Data'!F28/I28</f>
        <v>0</v>
      </c>
      <c r="K28" s="143">
        <f t="shared" si="6"/>
        <v>8.0175395613009438E-3</v>
      </c>
      <c r="L28" s="43">
        <f>A28*Table!$AC$9/$AC$16</f>
        <v>0.82899163853971991</v>
      </c>
      <c r="M28" s="43">
        <f>A28*Table!$AD$9/$AC$16</f>
        <v>0.28422570464218966</v>
      </c>
      <c r="N28" s="43">
        <f>ABS(A28*Table!$AE$9/$AC$16)</f>
        <v>0.35896390925014215</v>
      </c>
      <c r="O28" s="43">
        <f>($L28*(Table!$AC$10/Table!$AC$9)/(Table!$AC$12-Table!$AC$14))</f>
        <v>1.7781888428565422</v>
      </c>
      <c r="P28" s="43">
        <f>ROUND(($N28*(Table!$AE$10/Table!$AE$9)/(Table!$AC$12-Table!$AC$13)),2)</f>
        <v>2.95</v>
      </c>
      <c r="Q28" s="43">
        <f>'Raw Data'!C28</f>
        <v>0</v>
      </c>
      <c r="R28" s="43">
        <f>'Raw Data'!C28/'Raw Data'!I$30*100</f>
        <v>0</v>
      </c>
      <c r="S28" s="13">
        <f t="shared" si="7"/>
        <v>0</v>
      </c>
      <c r="T28" s="13">
        <f t="shared" si="8"/>
        <v>1</v>
      </c>
      <c r="U28" s="53">
        <f t="shared" si="9"/>
        <v>0</v>
      </c>
      <c r="V28" s="53">
        <f t="shared" si="10"/>
        <v>0</v>
      </c>
      <c r="W28" s="53">
        <f t="shared" si="11"/>
        <v>0</v>
      </c>
      <c r="X28" s="95">
        <f t="shared" si="12"/>
        <v>0</v>
      </c>
      <c r="AN28" s="78"/>
      <c r="AO28" s="35"/>
      <c r="AP28" s="35"/>
      <c r="AS28" s="114"/>
      <c r="AT28" s="114"/>
      <c r="AU28" s="56"/>
      <c r="AV28" s="56"/>
    </row>
    <row r="29" spans="1:48" ht="12.4" customHeight="1" x14ac:dyDescent="0.2">
      <c r="A29" s="43">
        <v>4.0388069152832031</v>
      </c>
      <c r="B29" s="139">
        <v>0</v>
      </c>
      <c r="C29" s="139">
        <f t="shared" si="1"/>
        <v>1</v>
      </c>
      <c r="D29" s="49">
        <f t="shared" si="2"/>
        <v>0</v>
      </c>
      <c r="E29" s="42">
        <f>(2*Table!$AC$16*0.147)/A29</f>
        <v>22.693604123131678</v>
      </c>
      <c r="F29" s="42">
        <f t="shared" si="3"/>
        <v>45.387208246263356</v>
      </c>
      <c r="G29" s="43">
        <f>IF((('Raw Data'!C29)/('Raw Data'!C$136)*100)&lt;0,0,('Raw Data'!C29)/('Raw Data'!C$136)*100)</f>
        <v>0</v>
      </c>
      <c r="H29" s="43">
        <f t="shared" si="4"/>
        <v>0</v>
      </c>
      <c r="I29" s="21">
        <f t="shared" si="5"/>
        <v>3.8991745704042069E-2</v>
      </c>
      <c r="J29" s="42">
        <f>'Raw Data'!F29/I29</f>
        <v>0</v>
      </c>
      <c r="K29" s="143">
        <f t="shared" si="6"/>
        <v>8.7706717460329306E-3</v>
      </c>
      <c r="L29" s="43">
        <f>A29*Table!$AC$9/$AC$16</f>
        <v>0.90686344435799537</v>
      </c>
      <c r="M29" s="43">
        <f>A29*Table!$AD$9/$AC$16</f>
        <v>0.31092460949416983</v>
      </c>
      <c r="N29" s="43">
        <f>ABS(A29*Table!$AE$9/$AC$16)</f>
        <v>0.39268339028873989</v>
      </c>
      <c r="O29" s="43">
        <f>($L29*(Table!$AC$10/Table!$AC$9)/(Table!$AC$12-Table!$AC$14))</f>
        <v>1.9452240333719337</v>
      </c>
      <c r="P29" s="43">
        <f>ROUND(($N29*(Table!$AE$10/Table!$AE$9)/(Table!$AC$12-Table!$AC$13)),2)</f>
        <v>3.22</v>
      </c>
      <c r="Q29" s="43">
        <f>'Raw Data'!C29</f>
        <v>0</v>
      </c>
      <c r="R29" s="43">
        <f>'Raw Data'!C29/'Raw Data'!I$30*100</f>
        <v>0</v>
      </c>
      <c r="S29" s="13">
        <f t="shared" si="7"/>
        <v>0</v>
      </c>
      <c r="T29" s="13">
        <f t="shared" si="8"/>
        <v>1</v>
      </c>
      <c r="U29" s="53">
        <f t="shared" si="9"/>
        <v>0</v>
      </c>
      <c r="V29" s="53">
        <f t="shared" si="10"/>
        <v>0</v>
      </c>
      <c r="W29" s="53">
        <f t="shared" si="11"/>
        <v>0</v>
      </c>
      <c r="X29" s="95">
        <f t="shared" si="12"/>
        <v>0</v>
      </c>
      <c r="AS29" s="114"/>
      <c r="AT29" s="114"/>
    </row>
    <row r="30" spans="1:48" ht="12.4" customHeight="1" x14ac:dyDescent="0.2">
      <c r="A30" s="43">
        <v>4.4196047782897949</v>
      </c>
      <c r="B30" s="139">
        <v>0</v>
      </c>
      <c r="C30" s="139">
        <f t="shared" si="1"/>
        <v>1</v>
      </c>
      <c r="D30" s="49">
        <f t="shared" si="2"/>
        <v>0</v>
      </c>
      <c r="E30" s="42">
        <f>(2*Table!$AC$16*0.147)/A30</f>
        <v>20.73829897990797</v>
      </c>
      <c r="F30" s="42">
        <f t="shared" si="3"/>
        <v>41.47659795981594</v>
      </c>
      <c r="G30" s="43">
        <f>IF((('Raw Data'!C30)/('Raw Data'!C$136)*100)&lt;0,0,('Raw Data'!C30)/('Raw Data'!C$136)*100)</f>
        <v>0</v>
      </c>
      <c r="H30" s="43">
        <f t="shared" si="4"/>
        <v>0</v>
      </c>
      <c r="I30" s="21">
        <f t="shared" si="5"/>
        <v>3.9130343252208766E-2</v>
      </c>
      <c r="J30" s="42">
        <f>'Raw Data'!F30/I30</f>
        <v>0</v>
      </c>
      <c r="K30" s="143">
        <f t="shared" si="6"/>
        <v>9.5976122579408754E-3</v>
      </c>
      <c r="L30" s="43">
        <f>A30*Table!$AC$9/$AC$16</f>
        <v>0.99236682911837004</v>
      </c>
      <c r="M30" s="43">
        <f>A30*Table!$AD$9/$AC$16</f>
        <v>0.34024005569772686</v>
      </c>
      <c r="N30" s="43">
        <f>ABS(A30*Table!$AE$9/$AC$16)</f>
        <v>0.42970744194475979</v>
      </c>
      <c r="O30" s="43">
        <f>($L30*(Table!$AC$10/Table!$AC$9)/(Table!$AC$12-Table!$AC$14))</f>
        <v>2.1286289770878812</v>
      </c>
      <c r="P30" s="43">
        <f>ROUND(($N30*(Table!$AE$10/Table!$AE$9)/(Table!$AC$12-Table!$AC$13)),2)</f>
        <v>3.53</v>
      </c>
      <c r="Q30" s="43">
        <f>'Raw Data'!C30</f>
        <v>0</v>
      </c>
      <c r="R30" s="43">
        <f>'Raw Data'!C30/'Raw Data'!I$30*100</f>
        <v>0</v>
      </c>
      <c r="S30" s="13">
        <f t="shared" si="7"/>
        <v>0</v>
      </c>
      <c r="T30" s="13">
        <f t="shared" si="8"/>
        <v>1</v>
      </c>
      <c r="U30" s="53">
        <f t="shared" si="9"/>
        <v>0</v>
      </c>
      <c r="V30" s="53">
        <f t="shared" si="10"/>
        <v>0</v>
      </c>
      <c r="W30" s="53">
        <f t="shared" si="11"/>
        <v>0</v>
      </c>
      <c r="X30" s="95">
        <f t="shared" si="12"/>
        <v>0</v>
      </c>
      <c r="AS30" s="114"/>
      <c r="AT30" s="114"/>
    </row>
    <row r="31" spans="1:48" ht="12.4" customHeight="1" x14ac:dyDescent="0.2">
      <c r="A31" s="43">
        <v>4.8204536437988281</v>
      </c>
      <c r="B31" s="139">
        <v>0</v>
      </c>
      <c r="C31" s="139">
        <f t="shared" si="1"/>
        <v>1</v>
      </c>
      <c r="D31" s="49">
        <f t="shared" si="2"/>
        <v>0</v>
      </c>
      <c r="E31" s="42">
        <f>(2*Table!$AC$16*0.147)/A31</f>
        <v>19.013788335691476</v>
      </c>
      <c r="F31" s="42">
        <f t="shared" si="3"/>
        <v>38.027576671382953</v>
      </c>
      <c r="G31" s="43">
        <f>IF((('Raw Data'!C31)/('Raw Data'!C$136)*100)&lt;0,0,('Raw Data'!C31)/('Raw Data'!C$136)*100)</f>
        <v>0</v>
      </c>
      <c r="H31" s="43">
        <f t="shared" si="4"/>
        <v>0</v>
      </c>
      <c r="I31" s="21">
        <f t="shared" si="5"/>
        <v>3.770447635289198E-2</v>
      </c>
      <c r="J31" s="42">
        <f>'Raw Data'!F31/I31</f>
        <v>0</v>
      </c>
      <c r="K31" s="143">
        <f t="shared" si="6"/>
        <v>1.046809552017499E-2</v>
      </c>
      <c r="L31" s="43">
        <f>A31*Table!$AC$9/$AC$16</f>
        <v>1.0823724150420109</v>
      </c>
      <c r="M31" s="43">
        <f>A31*Table!$AD$9/$AC$16</f>
        <v>0.37109911372868942</v>
      </c>
      <c r="N31" s="43">
        <f>ABS(A31*Table!$AE$9/$AC$16)</f>
        <v>0.46868100389094769</v>
      </c>
      <c r="O31" s="43">
        <f>($L31*(Table!$AC$10/Table!$AC$9)/(Table!$AC$12-Table!$AC$14))</f>
        <v>2.3216911519562657</v>
      </c>
      <c r="P31" s="43">
        <f>ROUND(($N31*(Table!$AE$10/Table!$AE$9)/(Table!$AC$12-Table!$AC$13)),2)</f>
        <v>3.85</v>
      </c>
      <c r="Q31" s="43">
        <f>'Raw Data'!C31</f>
        <v>0</v>
      </c>
      <c r="R31" s="43">
        <f>'Raw Data'!C31/'Raw Data'!I$30*100</f>
        <v>0</v>
      </c>
      <c r="S31" s="13">
        <f t="shared" si="7"/>
        <v>0</v>
      </c>
      <c r="T31" s="13">
        <f t="shared" si="8"/>
        <v>1</v>
      </c>
      <c r="U31" s="53">
        <f t="shared" si="9"/>
        <v>0</v>
      </c>
      <c r="V31" s="53">
        <f t="shared" si="10"/>
        <v>0</v>
      </c>
      <c r="W31" s="53">
        <f t="shared" si="11"/>
        <v>0</v>
      </c>
      <c r="X31" s="95">
        <f t="shared" si="12"/>
        <v>0</v>
      </c>
      <c r="AS31" s="114"/>
      <c r="AT31" s="114"/>
    </row>
    <row r="32" spans="1:48" ht="12.4" customHeight="1" x14ac:dyDescent="0.2">
      <c r="A32" s="43">
        <v>5.2622184753417969</v>
      </c>
      <c r="B32" s="139">
        <v>0</v>
      </c>
      <c r="C32" s="139">
        <f t="shared" si="1"/>
        <v>1</v>
      </c>
      <c r="D32" s="49">
        <f t="shared" si="2"/>
        <v>0</v>
      </c>
      <c r="E32" s="42">
        <f>(2*Table!$AC$16*0.147)/A32</f>
        <v>17.417575057875254</v>
      </c>
      <c r="F32" s="42">
        <f t="shared" si="3"/>
        <v>34.835150115750508</v>
      </c>
      <c r="G32" s="43">
        <f>IF((('Raw Data'!C32)/('Raw Data'!C$136)*100)&lt;0,0,('Raw Data'!C32)/('Raw Data'!C$136)*100)</f>
        <v>0</v>
      </c>
      <c r="H32" s="43">
        <f t="shared" si="4"/>
        <v>0</v>
      </c>
      <c r="I32" s="21">
        <f t="shared" si="5"/>
        <v>3.8080964246537619E-2</v>
      </c>
      <c r="J32" s="42">
        <f>'Raw Data'!F32/I32</f>
        <v>0</v>
      </c>
      <c r="K32" s="143">
        <f t="shared" si="6"/>
        <v>1.1427431880559832E-2</v>
      </c>
      <c r="L32" s="43">
        <f>A32*Table!$AC$9/$AC$16</f>
        <v>1.1815651680338173</v>
      </c>
      <c r="M32" s="43">
        <f>A32*Table!$AD$9/$AC$16</f>
        <v>0.40510805761159446</v>
      </c>
      <c r="N32" s="43">
        <f>ABS(A32*Table!$AE$9/$AC$16)</f>
        <v>0.51163272587205744</v>
      </c>
      <c r="O32" s="43">
        <f>($L32*(Table!$AC$10/Table!$AC$9)/(Table!$AC$12-Table!$AC$14))</f>
        <v>2.534459819892358</v>
      </c>
      <c r="P32" s="43">
        <f>ROUND(($N32*(Table!$AE$10/Table!$AE$9)/(Table!$AC$12-Table!$AC$13)),2)</f>
        <v>4.2</v>
      </c>
      <c r="Q32" s="43">
        <f>'Raw Data'!C32</f>
        <v>0</v>
      </c>
      <c r="R32" s="43">
        <f>'Raw Data'!C32/'Raw Data'!I$30*100</f>
        <v>0</v>
      </c>
      <c r="S32" s="13">
        <f t="shared" si="7"/>
        <v>0</v>
      </c>
      <c r="T32" s="13">
        <f t="shared" si="8"/>
        <v>1</v>
      </c>
      <c r="U32" s="53">
        <f t="shared" si="9"/>
        <v>0</v>
      </c>
      <c r="V32" s="53">
        <f t="shared" si="10"/>
        <v>0</v>
      </c>
      <c r="W32" s="53">
        <f t="shared" si="11"/>
        <v>0</v>
      </c>
      <c r="X32" s="95">
        <f t="shared" si="12"/>
        <v>0</v>
      </c>
      <c r="AS32" s="114"/>
      <c r="AT32" s="114"/>
    </row>
    <row r="33" spans="1:46" ht="12.4" customHeight="1" x14ac:dyDescent="0.2">
      <c r="A33" s="43">
        <v>5.763972282409668</v>
      </c>
      <c r="B33" s="139">
        <v>0</v>
      </c>
      <c r="C33" s="139">
        <f t="shared" si="1"/>
        <v>1</v>
      </c>
      <c r="D33" s="49">
        <f t="shared" si="2"/>
        <v>0</v>
      </c>
      <c r="E33" s="42">
        <f>(2*Table!$AC$16*0.147)/A33</f>
        <v>15.9013750890014</v>
      </c>
      <c r="F33" s="42">
        <f t="shared" si="3"/>
        <v>31.8027501780028</v>
      </c>
      <c r="G33" s="43">
        <f>IF((('Raw Data'!C33)/('Raw Data'!C$136)*100)&lt;0,0,('Raw Data'!C33)/('Raw Data'!C$136)*100)</f>
        <v>0</v>
      </c>
      <c r="H33" s="43">
        <f t="shared" si="4"/>
        <v>0</v>
      </c>
      <c r="I33" s="21">
        <f t="shared" si="5"/>
        <v>3.9553008683655966E-2</v>
      </c>
      <c r="J33" s="42">
        <f>'Raw Data'!F33/I33</f>
        <v>0</v>
      </c>
      <c r="K33" s="143">
        <f t="shared" si="6"/>
        <v>1.2517040280125043E-2</v>
      </c>
      <c r="L33" s="43">
        <f>A33*Table!$AC$9/$AC$16</f>
        <v>1.2942276931908041</v>
      </c>
      <c r="M33" s="43">
        <f>A33*Table!$AD$9/$AC$16</f>
        <v>0.44373520909399</v>
      </c>
      <c r="N33" s="43">
        <f>ABS(A33*Table!$AE$9/$AC$16)</f>
        <v>0.5604170302922844</v>
      </c>
      <c r="O33" s="43">
        <f>($L33*(Table!$AC$10/Table!$AC$9)/(Table!$AC$12-Table!$AC$14))</f>
        <v>2.7761211780154533</v>
      </c>
      <c r="P33" s="43">
        <f>ROUND(($N33*(Table!$AE$10/Table!$AE$9)/(Table!$AC$12-Table!$AC$13)),2)</f>
        <v>4.5999999999999996</v>
      </c>
      <c r="Q33" s="43">
        <f>'Raw Data'!C33</f>
        <v>0</v>
      </c>
      <c r="R33" s="43">
        <f>'Raw Data'!C33/'Raw Data'!I$30*100</f>
        <v>0</v>
      </c>
      <c r="S33" s="13">
        <f t="shared" si="7"/>
        <v>0</v>
      </c>
      <c r="T33" s="13">
        <f t="shared" si="8"/>
        <v>1</v>
      </c>
      <c r="U33" s="53">
        <f t="shared" si="9"/>
        <v>0</v>
      </c>
      <c r="V33" s="53">
        <f t="shared" si="10"/>
        <v>0</v>
      </c>
      <c r="W33" s="53">
        <f t="shared" si="11"/>
        <v>0</v>
      </c>
      <c r="X33" s="95">
        <f t="shared" si="12"/>
        <v>0</v>
      </c>
      <c r="AS33" s="114"/>
      <c r="AT33" s="114"/>
    </row>
    <row r="34" spans="1:46" ht="12.4" customHeight="1" x14ac:dyDescent="0.2">
      <c r="A34" s="43">
        <v>6.3053379058837891</v>
      </c>
      <c r="B34" s="139">
        <v>0</v>
      </c>
      <c r="C34" s="139">
        <f t="shared" si="1"/>
        <v>1</v>
      </c>
      <c r="D34" s="49">
        <f t="shared" si="2"/>
        <v>0</v>
      </c>
      <c r="E34" s="42">
        <f>(2*Table!$AC$16*0.147)/A34</f>
        <v>14.536109980668321</v>
      </c>
      <c r="F34" s="42">
        <f t="shared" si="3"/>
        <v>29.072219961336643</v>
      </c>
      <c r="G34" s="43">
        <f>IF((('Raw Data'!C34)/('Raw Data'!C$136)*100)&lt;0,0,('Raw Data'!C34)/('Raw Data'!C$136)*100)</f>
        <v>0</v>
      </c>
      <c r="H34" s="43">
        <f t="shared" si="4"/>
        <v>0</v>
      </c>
      <c r="I34" s="21">
        <f t="shared" si="5"/>
        <v>3.8986481841941645E-2</v>
      </c>
      <c r="J34" s="42">
        <f>'Raw Data'!F34/I34</f>
        <v>0</v>
      </c>
      <c r="K34" s="143">
        <f t="shared" si="6"/>
        <v>1.36926696869458E-2</v>
      </c>
      <c r="L34" s="43">
        <f>A34*Table!$AC$9/$AC$16</f>
        <v>1.4157845549716872</v>
      </c>
      <c r="M34" s="43">
        <f>A34*Table!$AD$9/$AC$16</f>
        <v>0.48541184741886417</v>
      </c>
      <c r="N34" s="43">
        <f>ABS(A34*Table!$AE$9/$AC$16)</f>
        <v>0.61305269544556362</v>
      </c>
      <c r="O34" s="43">
        <f>($L34*(Table!$AC$10/Table!$AC$9)/(Table!$AC$12-Table!$AC$14))</f>
        <v>3.0368609072751767</v>
      </c>
      <c r="P34" s="43">
        <f>ROUND(($N34*(Table!$AE$10/Table!$AE$9)/(Table!$AC$12-Table!$AC$13)),2)</f>
        <v>5.03</v>
      </c>
      <c r="Q34" s="43">
        <f>'Raw Data'!C34</f>
        <v>0</v>
      </c>
      <c r="R34" s="43">
        <f>'Raw Data'!C34/'Raw Data'!I$30*100</f>
        <v>0</v>
      </c>
      <c r="S34" s="13">
        <f t="shared" si="7"/>
        <v>0</v>
      </c>
      <c r="T34" s="13">
        <f t="shared" si="8"/>
        <v>1</v>
      </c>
      <c r="U34" s="53">
        <f t="shared" si="9"/>
        <v>0</v>
      </c>
      <c r="V34" s="53">
        <f t="shared" si="10"/>
        <v>0</v>
      </c>
      <c r="W34" s="53">
        <f t="shared" si="11"/>
        <v>0</v>
      </c>
      <c r="X34" s="95">
        <f t="shared" si="12"/>
        <v>0</v>
      </c>
      <c r="AS34" s="114"/>
      <c r="AT34" s="114"/>
    </row>
    <row r="35" spans="1:46" ht="12.4" customHeight="1" x14ac:dyDescent="0.2">
      <c r="A35" s="43">
        <v>6.8938956260681152</v>
      </c>
      <c r="B35" s="139">
        <v>0</v>
      </c>
      <c r="C35" s="139">
        <f t="shared" si="1"/>
        <v>1</v>
      </c>
      <c r="D35" s="49">
        <f t="shared" si="2"/>
        <v>0</v>
      </c>
      <c r="E35" s="42">
        <f>(2*Table!$AC$16*0.147)/A35</f>
        <v>13.29510776441483</v>
      </c>
      <c r="F35" s="42">
        <f t="shared" si="3"/>
        <v>26.59021552882966</v>
      </c>
      <c r="G35" s="43">
        <f>IF((('Raw Data'!C35)/('Raw Data'!C$136)*100)&lt;0,0,('Raw Data'!C35)/('Raw Data'!C$136)*100)</f>
        <v>0</v>
      </c>
      <c r="H35" s="43">
        <f t="shared" si="4"/>
        <v>0</v>
      </c>
      <c r="I35" s="21">
        <f t="shared" si="5"/>
        <v>3.8756338312417871E-2</v>
      </c>
      <c r="J35" s="42">
        <f>'Raw Data'!F35/I35</f>
        <v>0</v>
      </c>
      <c r="K35" s="143">
        <f t="shared" si="6"/>
        <v>1.4970781435194173E-2</v>
      </c>
      <c r="L35" s="43">
        <f>A35*Table!$AC$9/$AC$16</f>
        <v>1.5479378102585697</v>
      </c>
      <c r="M35" s="43">
        <f>A35*Table!$AD$9/$AC$16</f>
        <v>0.53072153494579533</v>
      </c>
      <c r="N35" s="43">
        <f>ABS(A35*Table!$AE$9/$AC$16)</f>
        <v>0.67027673358118878</v>
      </c>
      <c r="O35" s="43">
        <f>($L35*(Table!$AC$10/Table!$AC$9)/(Table!$AC$12-Table!$AC$14))</f>
        <v>3.320329923334556</v>
      </c>
      <c r="P35" s="43">
        <f>ROUND(($N35*(Table!$AE$10/Table!$AE$9)/(Table!$AC$12-Table!$AC$13)),2)</f>
        <v>5.5</v>
      </c>
      <c r="Q35" s="43">
        <f>'Raw Data'!C35</f>
        <v>0</v>
      </c>
      <c r="R35" s="43">
        <f>'Raw Data'!C35/'Raw Data'!I$30*100</f>
        <v>0</v>
      </c>
      <c r="S35" s="13">
        <f t="shared" si="7"/>
        <v>0</v>
      </c>
      <c r="T35" s="13">
        <f t="shared" si="8"/>
        <v>1</v>
      </c>
      <c r="U35" s="53">
        <f t="shared" si="9"/>
        <v>0</v>
      </c>
      <c r="V35" s="53">
        <f t="shared" si="10"/>
        <v>0</v>
      </c>
      <c r="W35" s="53">
        <f t="shared" si="11"/>
        <v>0</v>
      </c>
      <c r="X35" s="95">
        <f t="shared" si="12"/>
        <v>0</v>
      </c>
      <c r="AS35" s="114"/>
      <c r="AT35" s="114"/>
    </row>
    <row r="36" spans="1:46" ht="12.4" customHeight="1" x14ac:dyDescent="0.2">
      <c r="A36" s="43">
        <v>7.542360782623291</v>
      </c>
      <c r="B36" s="139">
        <v>0</v>
      </c>
      <c r="C36" s="139">
        <f t="shared" si="1"/>
        <v>1</v>
      </c>
      <c r="D36" s="49">
        <f t="shared" si="2"/>
        <v>0</v>
      </c>
      <c r="E36" s="42">
        <f>(2*Table!$AC$16*0.147)/A36</f>
        <v>12.152042033890256</v>
      </c>
      <c r="F36" s="42">
        <f t="shared" si="3"/>
        <v>24.304084067780511</v>
      </c>
      <c r="G36" s="43">
        <f>IF((('Raw Data'!C36)/('Raw Data'!C$136)*100)&lt;0,0,('Raw Data'!C36)/('Raw Data'!C$136)*100)</f>
        <v>0</v>
      </c>
      <c r="H36" s="43">
        <f t="shared" si="4"/>
        <v>0</v>
      </c>
      <c r="I36" s="21">
        <f t="shared" si="5"/>
        <v>3.9042598804676309E-2</v>
      </c>
      <c r="J36" s="42">
        <f>'Raw Data'!F36/I36</f>
        <v>0</v>
      </c>
      <c r="K36" s="143">
        <f t="shared" si="6"/>
        <v>1.6378988152223252E-2</v>
      </c>
      <c r="L36" s="43">
        <f>A36*Table!$AC$9/$AC$16</f>
        <v>1.6935425291161279</v>
      </c>
      <c r="M36" s="43">
        <f>A36*Table!$AD$9/$AC$16</f>
        <v>0.58064315283981527</v>
      </c>
      <c r="N36" s="43">
        <f>ABS(A36*Table!$AE$9/$AC$16)</f>
        <v>0.73332542630195707</v>
      </c>
      <c r="O36" s="43">
        <f>($L36*(Table!$AC$10/Table!$AC$9)/(Table!$AC$12-Table!$AC$14))</f>
        <v>3.6326523576064522</v>
      </c>
      <c r="P36" s="43">
        <f>ROUND(($N36*(Table!$AE$10/Table!$AE$9)/(Table!$AC$12-Table!$AC$13)),2)</f>
        <v>6.02</v>
      </c>
      <c r="Q36" s="43">
        <f>'Raw Data'!C36</f>
        <v>0</v>
      </c>
      <c r="R36" s="43">
        <f>'Raw Data'!C36/'Raw Data'!I$30*100</f>
        <v>0</v>
      </c>
      <c r="S36" s="13">
        <f t="shared" si="7"/>
        <v>0</v>
      </c>
      <c r="T36" s="13">
        <f t="shared" si="8"/>
        <v>1</v>
      </c>
      <c r="U36" s="53">
        <f t="shared" si="9"/>
        <v>0</v>
      </c>
      <c r="V36" s="53">
        <f t="shared" si="10"/>
        <v>0</v>
      </c>
      <c r="W36" s="53">
        <f t="shared" si="11"/>
        <v>0</v>
      </c>
      <c r="X36" s="95">
        <f t="shared" si="12"/>
        <v>0</v>
      </c>
      <c r="AS36" s="114"/>
      <c r="AT36" s="114"/>
    </row>
    <row r="37" spans="1:46" ht="12.4" customHeight="1" x14ac:dyDescent="0.2">
      <c r="A37" s="43">
        <v>8.2497549057006836</v>
      </c>
      <c r="B37" s="139">
        <v>0</v>
      </c>
      <c r="C37" s="139">
        <f t="shared" si="1"/>
        <v>1</v>
      </c>
      <c r="D37" s="49">
        <f t="shared" si="2"/>
        <v>0</v>
      </c>
      <c r="E37" s="42">
        <f>(2*Table!$AC$16*0.147)/A37</f>
        <v>11.11003736630634</v>
      </c>
      <c r="F37" s="42">
        <f t="shared" si="3"/>
        <v>22.22007473261268</v>
      </c>
      <c r="G37" s="43">
        <f>IF((('Raw Data'!C37)/('Raw Data'!C$136)*100)&lt;0,0,('Raw Data'!C37)/('Raw Data'!C$136)*100)</f>
        <v>0</v>
      </c>
      <c r="H37" s="43">
        <f t="shared" si="4"/>
        <v>0</v>
      </c>
      <c r="I37" s="21">
        <f t="shared" si="5"/>
        <v>3.8933743478377414E-2</v>
      </c>
      <c r="J37" s="42">
        <f>'Raw Data'!F37/I37</f>
        <v>0</v>
      </c>
      <c r="K37" s="143">
        <f t="shared" si="6"/>
        <v>1.7915164993237098E-2</v>
      </c>
      <c r="L37" s="43">
        <f>A37*Table!$AC$9/$AC$16</f>
        <v>1.8523790084103071</v>
      </c>
      <c r="M37" s="43">
        <f>A37*Table!$AD$9/$AC$16</f>
        <v>0.63510137431210534</v>
      </c>
      <c r="N37" s="43">
        <f>ABS(A37*Table!$AE$9/$AC$16)</f>
        <v>0.80210363936017715</v>
      </c>
      <c r="O37" s="43">
        <f>($L37*(Table!$AC$10/Table!$AC$9)/(Table!$AC$12-Table!$AC$14))</f>
        <v>3.9733569463970557</v>
      </c>
      <c r="P37" s="43">
        <f>ROUND(($N37*(Table!$AE$10/Table!$AE$9)/(Table!$AC$12-Table!$AC$13)),2)</f>
        <v>6.59</v>
      </c>
      <c r="Q37" s="43">
        <f>'Raw Data'!C37</f>
        <v>0</v>
      </c>
      <c r="R37" s="43">
        <f>'Raw Data'!C37/'Raw Data'!I$30*100</f>
        <v>0</v>
      </c>
      <c r="S37" s="13">
        <f t="shared" si="7"/>
        <v>0</v>
      </c>
      <c r="T37" s="13">
        <f t="shared" si="8"/>
        <v>1</v>
      </c>
      <c r="U37" s="53">
        <f t="shared" si="9"/>
        <v>0</v>
      </c>
      <c r="V37" s="53">
        <f t="shared" si="10"/>
        <v>0</v>
      </c>
      <c r="W37" s="53">
        <f t="shared" si="11"/>
        <v>0</v>
      </c>
      <c r="X37" s="95">
        <f t="shared" si="12"/>
        <v>0</v>
      </c>
      <c r="AS37" s="114"/>
      <c r="AT37" s="114"/>
    </row>
    <row r="38" spans="1:46" ht="12.4" customHeight="1" x14ac:dyDescent="0.2">
      <c r="A38" s="43">
        <v>9.0262670516967773</v>
      </c>
      <c r="B38" s="139">
        <v>0</v>
      </c>
      <c r="C38" s="139">
        <f t="shared" si="1"/>
        <v>1</v>
      </c>
      <c r="D38" s="49">
        <f t="shared" si="2"/>
        <v>0</v>
      </c>
      <c r="E38" s="42">
        <f>(2*Table!$AC$16*0.147)/A38</f>
        <v>10.154262525168045</v>
      </c>
      <c r="F38" s="42">
        <f t="shared" si="3"/>
        <v>20.30852505033609</v>
      </c>
      <c r="G38" s="43">
        <f>IF((('Raw Data'!C38)/('Raw Data'!C$136)*100)&lt;0,0,('Raw Data'!C38)/('Raw Data'!C$136)*100)</f>
        <v>0</v>
      </c>
      <c r="H38" s="43">
        <f t="shared" si="4"/>
        <v>0</v>
      </c>
      <c r="I38" s="21">
        <f t="shared" si="5"/>
        <v>3.9067132273563621E-2</v>
      </c>
      <c r="J38" s="42">
        <f>'Raw Data'!F38/I38</f>
        <v>0</v>
      </c>
      <c r="K38" s="143">
        <f t="shared" si="6"/>
        <v>1.9601438509697536E-2</v>
      </c>
      <c r="L38" s="43">
        <f>A38*Table!$AC$9/$AC$16</f>
        <v>2.0267350729795535</v>
      </c>
      <c r="M38" s="43">
        <f>A38*Table!$AD$9/$AC$16</f>
        <v>0.69488059645013256</v>
      </c>
      <c r="N38" s="43">
        <f>ABS(A38*Table!$AE$9/$AC$16)</f>
        <v>0.87760202997060066</v>
      </c>
      <c r="O38" s="43">
        <f>($L38*(Table!$AC$10/Table!$AC$9)/(Table!$AC$12-Table!$AC$14))</f>
        <v>4.3473510788922214</v>
      </c>
      <c r="P38" s="43">
        <f>ROUND(($N38*(Table!$AE$10/Table!$AE$9)/(Table!$AC$12-Table!$AC$13)),2)</f>
        <v>7.21</v>
      </c>
      <c r="Q38" s="43">
        <f>'Raw Data'!C38</f>
        <v>0</v>
      </c>
      <c r="R38" s="43">
        <f>'Raw Data'!C38/'Raw Data'!I$30*100</f>
        <v>0</v>
      </c>
      <c r="S38" s="13">
        <f t="shared" si="7"/>
        <v>0</v>
      </c>
      <c r="T38" s="13">
        <f t="shared" si="8"/>
        <v>1</v>
      </c>
      <c r="U38" s="53">
        <f t="shared" si="9"/>
        <v>0</v>
      </c>
      <c r="V38" s="53">
        <f t="shared" si="10"/>
        <v>0</v>
      </c>
      <c r="W38" s="53">
        <f t="shared" si="11"/>
        <v>0</v>
      </c>
      <c r="X38" s="95">
        <f t="shared" si="12"/>
        <v>0</v>
      </c>
      <c r="AS38" s="114"/>
      <c r="AT38" s="114"/>
    </row>
    <row r="39" spans="1:46" ht="12.4" customHeight="1" x14ac:dyDescent="0.2">
      <c r="A39" s="43">
        <v>9.8776836395263672</v>
      </c>
      <c r="B39" s="139">
        <v>0</v>
      </c>
      <c r="C39" s="139">
        <f t="shared" si="1"/>
        <v>1</v>
      </c>
      <c r="D39" s="49">
        <f t="shared" si="2"/>
        <v>0</v>
      </c>
      <c r="E39" s="42">
        <f>(2*Table!$AC$16*0.147)/A39</f>
        <v>9.2790059501843363</v>
      </c>
      <c r="F39" s="42">
        <f t="shared" si="3"/>
        <v>18.558011900368673</v>
      </c>
      <c r="G39" s="43">
        <f>IF((('Raw Data'!C39)/('Raw Data'!C$136)*100)&lt;0,0,('Raw Data'!C39)/('Raw Data'!C$136)*100)</f>
        <v>0</v>
      </c>
      <c r="H39" s="43">
        <f t="shared" si="4"/>
        <v>0</v>
      </c>
      <c r="I39" s="21">
        <f t="shared" si="5"/>
        <v>3.91469341138867E-2</v>
      </c>
      <c r="J39" s="42">
        <f>'Raw Data'!F39/I39</f>
        <v>0</v>
      </c>
      <c r="K39" s="143">
        <f t="shared" si="6"/>
        <v>2.1450374486984065E-2</v>
      </c>
      <c r="L39" s="43">
        <f>A39*Table!$AC$9/$AC$16</f>
        <v>2.2179099906268687</v>
      </c>
      <c r="M39" s="43">
        <f>A39*Table!$AD$9/$AC$16</f>
        <v>0.76042628250064059</v>
      </c>
      <c r="N39" s="43">
        <f>ABS(A39*Table!$AE$9/$AC$16)</f>
        <v>0.96038319759508717</v>
      </c>
      <c r="O39" s="43">
        <f>($L39*(Table!$AC$10/Table!$AC$9)/(Table!$AC$12-Table!$AC$14))</f>
        <v>4.7574216873163211</v>
      </c>
      <c r="P39" s="43">
        <f>ROUND(($N39*(Table!$AE$10/Table!$AE$9)/(Table!$AC$12-Table!$AC$13)),2)</f>
        <v>7.88</v>
      </c>
      <c r="Q39" s="43">
        <f>'Raw Data'!C39</f>
        <v>0</v>
      </c>
      <c r="R39" s="43">
        <f>'Raw Data'!C39/'Raw Data'!I$30*100</f>
        <v>0</v>
      </c>
      <c r="S39" s="13">
        <f t="shared" si="7"/>
        <v>0</v>
      </c>
      <c r="T39" s="13">
        <f t="shared" si="8"/>
        <v>1</v>
      </c>
      <c r="U39" s="53">
        <f t="shared" si="9"/>
        <v>0</v>
      </c>
      <c r="V39" s="53">
        <f t="shared" si="10"/>
        <v>0</v>
      </c>
      <c r="W39" s="53">
        <f t="shared" si="11"/>
        <v>0</v>
      </c>
      <c r="X39" s="95">
        <f t="shared" si="12"/>
        <v>0</v>
      </c>
      <c r="AS39" s="114"/>
      <c r="AT39" s="114"/>
    </row>
    <row r="40" spans="1:46" ht="12.4" customHeight="1" x14ac:dyDescent="0.2">
      <c r="A40" s="43">
        <v>10.782322883605957</v>
      </c>
      <c r="B40" s="139">
        <v>0</v>
      </c>
      <c r="C40" s="139">
        <f t="shared" si="1"/>
        <v>1</v>
      </c>
      <c r="D40" s="49">
        <f t="shared" si="2"/>
        <v>0</v>
      </c>
      <c r="E40" s="42">
        <f>(2*Table!$AC$16*0.147)/A40</f>
        <v>8.5004953250436532</v>
      </c>
      <c r="F40" s="42">
        <f t="shared" si="3"/>
        <v>17.000990650087306</v>
      </c>
      <c r="G40" s="43">
        <f>IF((('Raw Data'!C40)/('Raw Data'!C$136)*100)&lt;0,0,('Raw Data'!C40)/('Raw Data'!C$136)*100)</f>
        <v>0</v>
      </c>
      <c r="H40" s="43">
        <f t="shared" si="4"/>
        <v>0</v>
      </c>
      <c r="I40" s="21">
        <f t="shared" si="5"/>
        <v>3.8057220363859612E-2</v>
      </c>
      <c r="J40" s="42">
        <f>'Raw Data'!F40/I40</f>
        <v>0</v>
      </c>
      <c r="K40" s="143">
        <f t="shared" si="6"/>
        <v>2.3414888766777282E-2</v>
      </c>
      <c r="L40" s="43">
        <f>A40*Table!$AC$9/$AC$16</f>
        <v>2.4210353882988946</v>
      </c>
      <c r="M40" s="43">
        <f>A40*Table!$AD$9/$AC$16</f>
        <v>0.83006927598819247</v>
      </c>
      <c r="N40" s="43">
        <f>ABS(A40*Table!$AE$9/$AC$16)</f>
        <v>1.0483390748639827</v>
      </c>
      <c r="O40" s="43">
        <f>($L40*(Table!$AC$10/Table!$AC$9)/(Table!$AC$12-Table!$AC$14))</f>
        <v>5.1931261010272305</v>
      </c>
      <c r="P40" s="43">
        <f>ROUND(($N40*(Table!$AE$10/Table!$AE$9)/(Table!$AC$12-Table!$AC$13)),2)</f>
        <v>8.61</v>
      </c>
      <c r="Q40" s="43">
        <f>'Raw Data'!C40</f>
        <v>0</v>
      </c>
      <c r="R40" s="43">
        <f>'Raw Data'!C40/'Raw Data'!I$30*100</f>
        <v>0</v>
      </c>
      <c r="S40" s="13">
        <f t="shared" si="7"/>
        <v>0</v>
      </c>
      <c r="T40" s="13">
        <f t="shared" si="8"/>
        <v>1</v>
      </c>
      <c r="U40" s="53">
        <f t="shared" si="9"/>
        <v>0</v>
      </c>
      <c r="V40" s="53">
        <f t="shared" si="10"/>
        <v>0</v>
      </c>
      <c r="W40" s="53">
        <f t="shared" si="11"/>
        <v>0</v>
      </c>
      <c r="X40" s="95">
        <f t="shared" si="12"/>
        <v>0</v>
      </c>
      <c r="AS40" s="114"/>
      <c r="AT40" s="114"/>
    </row>
    <row r="41" spans="1:46" ht="12.4" customHeight="1" x14ac:dyDescent="0.2">
      <c r="A41" s="43">
        <v>11.883312225341797</v>
      </c>
      <c r="B41" s="139">
        <v>0</v>
      </c>
      <c r="C41" s="139">
        <f t="shared" si="1"/>
        <v>1</v>
      </c>
      <c r="D41" s="49">
        <f t="shared" si="2"/>
        <v>0</v>
      </c>
      <c r="E41" s="42">
        <f>(2*Table!$AC$16*0.147)/A41</f>
        <v>7.712924101223587</v>
      </c>
      <c r="F41" s="42">
        <f t="shared" si="3"/>
        <v>15.425848202447174</v>
      </c>
      <c r="G41" s="43">
        <f>IF((('Raw Data'!C41)/('Raw Data'!C$136)*100)&lt;0,0,('Raw Data'!C41)/('Raw Data'!C$136)*100)</f>
        <v>0</v>
      </c>
      <c r="H41" s="43">
        <f t="shared" si="4"/>
        <v>0</v>
      </c>
      <c r="I41" s="21">
        <f t="shared" si="5"/>
        <v>4.2225175128468129E-2</v>
      </c>
      <c r="J41" s="42">
        <f>'Raw Data'!F41/I41</f>
        <v>0</v>
      </c>
      <c r="K41" s="143">
        <f t="shared" si="6"/>
        <v>2.5805796852951247E-2</v>
      </c>
      <c r="L41" s="43">
        <f>A41*Table!$AC$9/$AC$16</f>
        <v>2.6682487380804338</v>
      </c>
      <c r="M41" s="43">
        <f>A41*Table!$AD$9/$AC$16</f>
        <v>0.91482813877043445</v>
      </c>
      <c r="N41" s="43">
        <f>ABS(A41*Table!$AE$9/$AC$16)</f>
        <v>1.1553855953967134</v>
      </c>
      <c r="O41" s="43">
        <f>($L41*(Table!$AC$10/Table!$AC$9)/(Table!$AC$12-Table!$AC$14))</f>
        <v>5.7233992665817981</v>
      </c>
      <c r="P41" s="43">
        <f>ROUND(($N41*(Table!$AE$10/Table!$AE$9)/(Table!$AC$12-Table!$AC$13)),2)</f>
        <v>9.49</v>
      </c>
      <c r="Q41" s="43">
        <f>'Raw Data'!C41</f>
        <v>0</v>
      </c>
      <c r="R41" s="43">
        <f>'Raw Data'!C41/'Raw Data'!I$30*100</f>
        <v>0</v>
      </c>
      <c r="S41" s="13">
        <f t="shared" si="7"/>
        <v>0</v>
      </c>
      <c r="T41" s="13">
        <f t="shared" si="8"/>
        <v>1</v>
      </c>
      <c r="U41" s="53">
        <f t="shared" si="9"/>
        <v>0</v>
      </c>
      <c r="V41" s="53">
        <f t="shared" si="10"/>
        <v>0</v>
      </c>
      <c r="W41" s="53">
        <f t="shared" si="11"/>
        <v>0</v>
      </c>
      <c r="X41" s="95">
        <f t="shared" si="12"/>
        <v>0</v>
      </c>
      <c r="AS41" s="114"/>
      <c r="AT41" s="114"/>
    </row>
    <row r="42" spans="1:46" ht="12.4" customHeight="1" x14ac:dyDescent="0.2">
      <c r="A42" s="43">
        <v>12.884048461914062</v>
      </c>
      <c r="B42" s="139">
        <v>0</v>
      </c>
      <c r="C42" s="139">
        <f t="shared" si="1"/>
        <v>1</v>
      </c>
      <c r="D42" s="49">
        <f t="shared" si="2"/>
        <v>0</v>
      </c>
      <c r="E42" s="42">
        <f>(2*Table!$AC$16*0.147)/A42</f>
        <v>7.1138420144988572</v>
      </c>
      <c r="F42" s="42">
        <f t="shared" si="3"/>
        <v>14.227684028997714</v>
      </c>
      <c r="G42" s="43">
        <f>IF((('Raw Data'!C42)/('Raw Data'!C$136)*100)&lt;0,0,('Raw Data'!C42)/('Raw Data'!C$136)*100)</f>
        <v>0</v>
      </c>
      <c r="H42" s="43">
        <f t="shared" si="4"/>
        <v>0</v>
      </c>
      <c r="I42" s="21">
        <f t="shared" si="5"/>
        <v>3.5114841657177598E-2</v>
      </c>
      <c r="J42" s="42">
        <f>'Raw Data'!F42/I42</f>
        <v>0</v>
      </c>
      <c r="K42" s="143">
        <f t="shared" si="6"/>
        <v>2.7978995329491996E-2</v>
      </c>
      <c r="L42" s="43">
        <f>A42*Table!$AC$9/$AC$16</f>
        <v>2.8929515103168595</v>
      </c>
      <c r="M42" s="43">
        <f>A42*Table!$AD$9/$AC$16</f>
        <v>0.99186908925149464</v>
      </c>
      <c r="N42" s="43">
        <f>ABS(A42*Table!$AE$9/$AC$16)</f>
        <v>1.2526847499254801</v>
      </c>
      <c r="O42" s="43">
        <f>($L42*(Table!$AC$10/Table!$AC$9)/(Table!$AC$12-Table!$AC$14))</f>
        <v>6.2053871950168595</v>
      </c>
      <c r="P42" s="43">
        <f>ROUND(($N42*(Table!$AE$10/Table!$AE$9)/(Table!$AC$12-Table!$AC$13)),2)</f>
        <v>10.28</v>
      </c>
      <c r="Q42" s="43">
        <f>'Raw Data'!C42</f>
        <v>0</v>
      </c>
      <c r="R42" s="43">
        <f>'Raw Data'!C42/'Raw Data'!I$30*100</f>
        <v>0</v>
      </c>
      <c r="S42" s="13">
        <f t="shared" si="7"/>
        <v>0</v>
      </c>
      <c r="T42" s="13">
        <f t="shared" si="8"/>
        <v>1</v>
      </c>
      <c r="U42" s="53">
        <f t="shared" si="9"/>
        <v>0</v>
      </c>
      <c r="V42" s="53">
        <f t="shared" si="10"/>
        <v>0</v>
      </c>
      <c r="W42" s="53">
        <f t="shared" si="11"/>
        <v>0</v>
      </c>
      <c r="X42" s="95">
        <f t="shared" si="12"/>
        <v>0</v>
      </c>
      <c r="AS42" s="114"/>
      <c r="AT42" s="114"/>
    </row>
    <row r="43" spans="1:46" ht="12.4" customHeight="1" x14ac:dyDescent="0.2">
      <c r="A43" s="43">
        <v>14.184564590454102</v>
      </c>
      <c r="B43" s="139">
        <v>0</v>
      </c>
      <c r="C43" s="139">
        <f t="shared" si="1"/>
        <v>1</v>
      </c>
      <c r="D43" s="49">
        <f t="shared" si="2"/>
        <v>0</v>
      </c>
      <c r="E43" s="42">
        <f>(2*Table!$AC$16*0.147)/A43</f>
        <v>6.4616072407950744</v>
      </c>
      <c r="F43" s="42">
        <f t="shared" si="3"/>
        <v>12.923214481590149</v>
      </c>
      <c r="G43" s="43">
        <f>IF((('Raw Data'!C43)/('Raw Data'!C$136)*100)&lt;0,0,('Raw Data'!C43)/('Raw Data'!C$136)*100)</f>
        <v>0</v>
      </c>
      <c r="H43" s="43">
        <f t="shared" si="4"/>
        <v>0</v>
      </c>
      <c r="I43" s="21">
        <f t="shared" si="5"/>
        <v>4.1763659527351171E-2</v>
      </c>
      <c r="J43" s="42">
        <f>'Raw Data'!F43/I43</f>
        <v>0</v>
      </c>
      <c r="K43" s="143">
        <f t="shared" si="6"/>
        <v>3.0803195719137616E-2</v>
      </c>
      <c r="L43" s="43">
        <f>A43*Table!$AC$9/$AC$16</f>
        <v>3.1849660979189625</v>
      </c>
      <c r="M43" s="43">
        <f>A43*Table!$AD$9/$AC$16</f>
        <v>1.0919883764293585</v>
      </c>
      <c r="N43" s="43">
        <f>ABS(A43*Table!$AE$9/$AC$16)</f>
        <v>1.3791307754950086</v>
      </c>
      <c r="O43" s="43">
        <f>($L43*(Table!$AC$10/Table!$AC$9)/(Table!$AC$12-Table!$AC$14))</f>
        <v>6.8317591117952867</v>
      </c>
      <c r="P43" s="43">
        <f>ROUND(($N43*(Table!$AE$10/Table!$AE$9)/(Table!$AC$12-Table!$AC$13)),2)</f>
        <v>11.32</v>
      </c>
      <c r="Q43" s="43">
        <f>'Raw Data'!C43</f>
        <v>0</v>
      </c>
      <c r="R43" s="43">
        <f>'Raw Data'!C43/'Raw Data'!I$30*100</f>
        <v>0</v>
      </c>
      <c r="S43" s="13">
        <f t="shared" si="7"/>
        <v>0</v>
      </c>
      <c r="T43" s="13">
        <f t="shared" si="8"/>
        <v>1</v>
      </c>
      <c r="U43" s="53">
        <f t="shared" si="9"/>
        <v>0</v>
      </c>
      <c r="V43" s="53">
        <f t="shared" si="10"/>
        <v>0</v>
      </c>
      <c r="W43" s="53">
        <f t="shared" si="11"/>
        <v>0</v>
      </c>
      <c r="X43" s="95">
        <f t="shared" si="12"/>
        <v>0</v>
      </c>
      <c r="AS43" s="114"/>
      <c r="AT43" s="114"/>
    </row>
    <row r="44" spans="1:46" ht="12.4" customHeight="1" x14ac:dyDescent="0.2">
      <c r="A44" s="43">
        <v>15.478479385375977</v>
      </c>
      <c r="B44" s="139">
        <v>0</v>
      </c>
      <c r="C44" s="139">
        <f t="shared" si="1"/>
        <v>1</v>
      </c>
      <c r="D44" s="49">
        <f t="shared" si="2"/>
        <v>0</v>
      </c>
      <c r="E44" s="42">
        <f>(2*Table!$AC$16*0.147)/A44</f>
        <v>5.9214528109136548</v>
      </c>
      <c r="F44" s="42">
        <f t="shared" si="3"/>
        <v>11.84290562182731</v>
      </c>
      <c r="G44" s="43">
        <f>IF((('Raw Data'!C44)/('Raw Data'!C$136)*100)&lt;0,0,('Raw Data'!C44)/('Raw Data'!C$136)*100)</f>
        <v>0</v>
      </c>
      <c r="H44" s="43">
        <f t="shared" si="4"/>
        <v>0</v>
      </c>
      <c r="I44" s="21">
        <f t="shared" si="5"/>
        <v>3.791228387697354E-2</v>
      </c>
      <c r="J44" s="42">
        <f>'Raw Data'!F44/I44</f>
        <v>0</v>
      </c>
      <c r="K44" s="143">
        <f t="shared" si="6"/>
        <v>3.3613060654906532E-2</v>
      </c>
      <c r="L44" s="43">
        <f>A44*Table!$AC$9/$AC$16</f>
        <v>3.475498438840821</v>
      </c>
      <c r="M44" s="43">
        <f>A44*Table!$AD$9/$AC$16</f>
        <v>1.1915994647454244</v>
      </c>
      <c r="N44" s="43">
        <f>ABS(A44*Table!$AE$9/$AC$16)</f>
        <v>1.5049349694246541</v>
      </c>
      <c r="O44" s="43">
        <f>($L44*(Table!$AC$10/Table!$AC$9)/(Table!$AC$12-Table!$AC$14))</f>
        <v>7.4549516062651682</v>
      </c>
      <c r="P44" s="43">
        <f>ROUND(($N44*(Table!$AE$10/Table!$AE$9)/(Table!$AC$12-Table!$AC$13)),2)</f>
        <v>12.36</v>
      </c>
      <c r="Q44" s="43">
        <f>'Raw Data'!C44</f>
        <v>0</v>
      </c>
      <c r="R44" s="43">
        <f>'Raw Data'!C44/'Raw Data'!I$30*100</f>
        <v>0</v>
      </c>
      <c r="S44" s="13">
        <f t="shared" si="7"/>
        <v>0</v>
      </c>
      <c r="T44" s="13">
        <f t="shared" si="8"/>
        <v>1</v>
      </c>
      <c r="U44" s="53">
        <f t="shared" si="9"/>
        <v>0</v>
      </c>
      <c r="V44" s="53">
        <f t="shared" si="10"/>
        <v>0</v>
      </c>
      <c r="W44" s="53">
        <f t="shared" si="11"/>
        <v>0</v>
      </c>
      <c r="X44" s="95">
        <f t="shared" si="12"/>
        <v>0</v>
      </c>
      <c r="AS44" s="114"/>
      <c r="AT44" s="114"/>
    </row>
    <row r="45" spans="1:46" ht="12.4" customHeight="1" x14ac:dyDescent="0.2">
      <c r="A45" s="43">
        <v>16.87272834777832</v>
      </c>
      <c r="B45" s="139">
        <v>0</v>
      </c>
      <c r="C45" s="139">
        <f t="shared" si="1"/>
        <v>1</v>
      </c>
      <c r="D45" s="49">
        <f t="shared" si="2"/>
        <v>0</v>
      </c>
      <c r="E45" s="42">
        <f>(2*Table!$AC$16*0.147)/A45</f>
        <v>5.4321437159433748</v>
      </c>
      <c r="F45" s="42">
        <f t="shared" si="3"/>
        <v>10.86428743188675</v>
      </c>
      <c r="G45" s="43">
        <f>IF((('Raw Data'!C45)/('Raw Data'!C$136)*100)&lt;0,0,('Raw Data'!C45)/('Raw Data'!C$136)*100)</f>
        <v>0</v>
      </c>
      <c r="H45" s="43">
        <f t="shared" si="4"/>
        <v>0</v>
      </c>
      <c r="I45" s="21">
        <f t="shared" si="5"/>
        <v>3.7457021290425163E-2</v>
      </c>
      <c r="J45" s="42">
        <f>'Raw Data'!F45/I45</f>
        <v>0</v>
      </c>
      <c r="K45" s="143">
        <f t="shared" si="6"/>
        <v>3.6640811235208903E-2</v>
      </c>
      <c r="L45" s="43">
        <f>A45*Table!$AC$9/$AC$16</f>
        <v>3.788559558834494</v>
      </c>
      <c r="M45" s="43">
        <f>A45*Table!$AD$9/$AC$16</f>
        <v>1.2989347058861123</v>
      </c>
      <c r="N45" s="43">
        <f>ABS(A45*Table!$AE$9/$AC$16)</f>
        <v>1.6404944108505188</v>
      </c>
      <c r="O45" s="43">
        <f>($L45*(Table!$AC$10/Table!$AC$9)/(Table!$AC$12-Table!$AC$14))</f>
        <v>8.1264683801683706</v>
      </c>
      <c r="P45" s="43">
        <f>ROUND(($N45*(Table!$AE$10/Table!$AE$9)/(Table!$AC$12-Table!$AC$13)),2)</f>
        <v>13.47</v>
      </c>
      <c r="Q45" s="43">
        <f>'Raw Data'!C45</f>
        <v>0</v>
      </c>
      <c r="R45" s="43">
        <f>'Raw Data'!C45/'Raw Data'!I$30*100</f>
        <v>0</v>
      </c>
      <c r="S45" s="13">
        <f t="shared" si="7"/>
        <v>0</v>
      </c>
      <c r="T45" s="13">
        <f t="shared" si="8"/>
        <v>1</v>
      </c>
      <c r="U45" s="53">
        <f t="shared" si="9"/>
        <v>0</v>
      </c>
      <c r="V45" s="53">
        <f t="shared" si="10"/>
        <v>0</v>
      </c>
      <c r="W45" s="53">
        <f t="shared" si="11"/>
        <v>0</v>
      </c>
      <c r="X45" s="95">
        <f t="shared" si="12"/>
        <v>0</v>
      </c>
      <c r="AS45" s="114"/>
      <c r="AT45" s="114"/>
    </row>
    <row r="46" spans="1:46" ht="12.4" customHeight="1" x14ac:dyDescent="0.2">
      <c r="A46" s="43">
        <v>18.472209930419922</v>
      </c>
      <c r="B46" s="139">
        <v>0</v>
      </c>
      <c r="C46" s="139">
        <f t="shared" si="1"/>
        <v>1</v>
      </c>
      <c r="D46" s="49">
        <f t="shared" si="2"/>
        <v>0</v>
      </c>
      <c r="E46" s="42">
        <f>(2*Table!$AC$16*0.147)/A46</f>
        <v>4.9617823536244359</v>
      </c>
      <c r="F46" s="42">
        <f t="shared" si="3"/>
        <v>9.9235647072488717</v>
      </c>
      <c r="G46" s="43">
        <f>IF((('Raw Data'!C46)/('Raw Data'!C$136)*100)&lt;0,0,('Raw Data'!C46)/('Raw Data'!C$136)*100)</f>
        <v>0</v>
      </c>
      <c r="H46" s="43">
        <f t="shared" si="4"/>
        <v>0</v>
      </c>
      <c r="I46" s="21">
        <f t="shared" si="5"/>
        <v>3.9333541151281626E-2</v>
      </c>
      <c r="J46" s="42">
        <f>'Raw Data'!F46/I46</f>
        <v>0</v>
      </c>
      <c r="K46" s="143">
        <f t="shared" si="6"/>
        <v>4.0114244904961613E-2</v>
      </c>
      <c r="L46" s="43">
        <f>A46*Table!$AC$9/$AC$16</f>
        <v>4.1477030899928362</v>
      </c>
      <c r="M46" s="43">
        <f>A46*Table!$AD$9/$AC$16</f>
        <v>1.4220696308546867</v>
      </c>
      <c r="N46" s="43">
        <f>ABS(A46*Table!$AE$9/$AC$16)</f>
        <v>1.7960081216445047</v>
      </c>
      <c r="O46" s="43">
        <f>($L46*(Table!$AC$10/Table!$AC$9)/(Table!$AC$12-Table!$AC$14))</f>
        <v>8.8968320248666597</v>
      </c>
      <c r="P46" s="43">
        <f>ROUND(($N46*(Table!$AE$10/Table!$AE$9)/(Table!$AC$12-Table!$AC$13)),2)</f>
        <v>14.75</v>
      </c>
      <c r="Q46" s="43">
        <f>'Raw Data'!C46</f>
        <v>0</v>
      </c>
      <c r="R46" s="43">
        <f>'Raw Data'!C46/'Raw Data'!I$30*100</f>
        <v>0</v>
      </c>
      <c r="S46" s="13">
        <f t="shared" si="7"/>
        <v>0</v>
      </c>
      <c r="T46" s="13">
        <f t="shared" si="8"/>
        <v>1</v>
      </c>
      <c r="U46" s="53">
        <f t="shared" si="9"/>
        <v>0</v>
      </c>
      <c r="V46" s="53">
        <f t="shared" si="10"/>
        <v>0</v>
      </c>
      <c r="W46" s="53">
        <f t="shared" si="11"/>
        <v>0</v>
      </c>
      <c r="X46" s="95">
        <f t="shared" si="12"/>
        <v>0</v>
      </c>
      <c r="AS46" s="114"/>
      <c r="AT46" s="114"/>
    </row>
    <row r="47" spans="1:46" ht="12.4" customHeight="1" x14ac:dyDescent="0.2">
      <c r="A47" s="43">
        <v>20.266654968261719</v>
      </c>
      <c r="B47" s="139">
        <v>0</v>
      </c>
      <c r="C47" s="139">
        <f t="shared" si="1"/>
        <v>1</v>
      </c>
      <c r="D47" s="49">
        <f t="shared" si="2"/>
        <v>0</v>
      </c>
      <c r="E47" s="42">
        <f>(2*Table!$AC$16*0.147)/A47</f>
        <v>4.5224574755300599</v>
      </c>
      <c r="F47" s="42">
        <f t="shared" si="3"/>
        <v>9.0449149510601199</v>
      </c>
      <c r="G47" s="43">
        <f>IF((('Raw Data'!C47)/('Raw Data'!C$136)*100)&lt;0,0,('Raw Data'!C47)/('Raw Data'!C$136)*100)</f>
        <v>0</v>
      </c>
      <c r="H47" s="43">
        <f t="shared" si="4"/>
        <v>0</v>
      </c>
      <c r="I47" s="21">
        <f t="shared" si="5"/>
        <v>4.0263218320726768E-2</v>
      </c>
      <c r="J47" s="42">
        <f>'Raw Data'!F47/I47</f>
        <v>0</v>
      </c>
      <c r="K47" s="143">
        <f t="shared" si="6"/>
        <v>4.4011061148801392E-2</v>
      </c>
      <c r="L47" s="43">
        <f>A47*Table!$AC$9/$AC$16</f>
        <v>4.550623220086309</v>
      </c>
      <c r="M47" s="43">
        <f>A47*Table!$AD$9/$AC$16</f>
        <v>1.560213675458163</v>
      </c>
      <c r="N47" s="43">
        <f>ABS(A47*Table!$AE$9/$AC$16)</f>
        <v>1.9704776558230441</v>
      </c>
      <c r="O47" s="43">
        <f>($L47*(Table!$AC$10/Table!$AC$9)/(Table!$AC$12-Table!$AC$14))</f>
        <v>9.761096568181701</v>
      </c>
      <c r="P47" s="43">
        <f>ROUND(($N47*(Table!$AE$10/Table!$AE$9)/(Table!$AC$12-Table!$AC$13)),2)</f>
        <v>16.18</v>
      </c>
      <c r="Q47" s="43">
        <f>'Raw Data'!C47</f>
        <v>0</v>
      </c>
      <c r="R47" s="43">
        <f>'Raw Data'!C47/'Raw Data'!I$30*100</f>
        <v>0</v>
      </c>
      <c r="S47" s="13">
        <f t="shared" si="7"/>
        <v>0</v>
      </c>
      <c r="T47" s="13">
        <f t="shared" si="8"/>
        <v>1</v>
      </c>
      <c r="U47" s="53">
        <f t="shared" si="9"/>
        <v>0</v>
      </c>
      <c r="V47" s="53">
        <f t="shared" si="10"/>
        <v>0</v>
      </c>
      <c r="W47" s="53">
        <f t="shared" si="11"/>
        <v>0</v>
      </c>
      <c r="X47" s="95">
        <f t="shared" si="12"/>
        <v>0</v>
      </c>
      <c r="AS47" s="114"/>
      <c r="AT47" s="114"/>
    </row>
    <row r="48" spans="1:46" ht="12.4" customHeight="1" x14ac:dyDescent="0.2">
      <c r="A48" s="43">
        <v>22.155405044555664</v>
      </c>
      <c r="B48" s="139">
        <v>0</v>
      </c>
      <c r="C48" s="139">
        <f t="shared" si="1"/>
        <v>1</v>
      </c>
      <c r="D48" s="49">
        <f t="shared" si="2"/>
        <v>0</v>
      </c>
      <c r="E48" s="42">
        <f>(2*Table!$AC$16*0.147)/A48</f>
        <v>4.1369176090836763</v>
      </c>
      <c r="F48" s="42">
        <f t="shared" si="3"/>
        <v>8.2738352181673527</v>
      </c>
      <c r="G48" s="43">
        <f>IF((('Raw Data'!C48)/('Raw Data'!C$136)*100)&lt;0,0,('Raw Data'!C48)/('Raw Data'!C$136)*100)</f>
        <v>0</v>
      </c>
      <c r="H48" s="43">
        <f t="shared" si="4"/>
        <v>0</v>
      </c>
      <c r="I48" s="21">
        <f t="shared" si="5"/>
        <v>3.8697620333129179E-2</v>
      </c>
      <c r="J48" s="42">
        <f>'Raw Data'!F48/I48</f>
        <v>0</v>
      </c>
      <c r="K48" s="143">
        <f t="shared" si="6"/>
        <v>4.8112670182593804E-2</v>
      </c>
      <c r="L48" s="43">
        <f>A48*Table!$AC$9/$AC$16</f>
        <v>4.9747183639362964</v>
      </c>
      <c r="M48" s="43">
        <f>A48*Table!$AD$9/$AC$16</f>
        <v>1.7056177247781585</v>
      </c>
      <c r="N48" s="43">
        <f>ABS(A48*Table!$AE$9/$AC$16)</f>
        <v>2.1541162399208966</v>
      </c>
      <c r="O48" s="43">
        <f>($L48*(Table!$AC$10/Table!$AC$9)/(Table!$AC$12-Table!$AC$14))</f>
        <v>10.670781561424919</v>
      </c>
      <c r="P48" s="43">
        <f>ROUND(($N48*(Table!$AE$10/Table!$AE$9)/(Table!$AC$12-Table!$AC$13)),2)</f>
        <v>17.690000000000001</v>
      </c>
      <c r="Q48" s="43">
        <f>'Raw Data'!C48</f>
        <v>0</v>
      </c>
      <c r="R48" s="43">
        <f>'Raw Data'!C48/'Raw Data'!I$30*100</f>
        <v>0</v>
      </c>
      <c r="S48" s="13">
        <f t="shared" si="7"/>
        <v>0</v>
      </c>
      <c r="T48" s="13">
        <f t="shared" si="8"/>
        <v>1</v>
      </c>
      <c r="U48" s="53">
        <f t="shared" si="9"/>
        <v>0</v>
      </c>
      <c r="V48" s="53">
        <f t="shared" si="10"/>
        <v>0</v>
      </c>
      <c r="W48" s="53">
        <f t="shared" si="11"/>
        <v>0</v>
      </c>
      <c r="X48" s="95">
        <f t="shared" si="12"/>
        <v>0</v>
      </c>
      <c r="AS48" s="114"/>
      <c r="AT48" s="114"/>
    </row>
    <row r="49" spans="1:46" ht="12.4" customHeight="1" x14ac:dyDescent="0.2">
      <c r="A49" s="43">
        <v>24.306196212768555</v>
      </c>
      <c r="B49" s="139">
        <v>0</v>
      </c>
      <c r="C49" s="139">
        <f t="shared" si="1"/>
        <v>1</v>
      </c>
      <c r="D49" s="49">
        <f t="shared" si="2"/>
        <v>0</v>
      </c>
      <c r="E49" s="42">
        <f>(2*Table!$AC$16*0.147)/A49</f>
        <v>3.7708526855820943</v>
      </c>
      <c r="F49" s="42">
        <f t="shared" si="3"/>
        <v>7.5417053711641886</v>
      </c>
      <c r="G49" s="43">
        <f>IF((('Raw Data'!C49)/('Raw Data'!C$136)*100)&lt;0,0,('Raw Data'!C49)/('Raw Data'!C$136)*100)</f>
        <v>0</v>
      </c>
      <c r="H49" s="43">
        <f t="shared" si="4"/>
        <v>0</v>
      </c>
      <c r="I49" s="21">
        <f t="shared" si="5"/>
        <v>4.0237305240486299E-2</v>
      </c>
      <c r="J49" s="42">
        <f>'Raw Data'!F49/I49</f>
        <v>0</v>
      </c>
      <c r="K49" s="143">
        <f t="shared" si="6"/>
        <v>5.2783327563930692E-2</v>
      </c>
      <c r="L49" s="43">
        <f>A49*Table!$AC$9/$AC$16</f>
        <v>5.4576515488626498</v>
      </c>
      <c r="M49" s="43">
        <f>A49*Table!$AD$9/$AC$16</f>
        <v>1.8711948167529084</v>
      </c>
      <c r="N49" s="43">
        <f>ABS(A49*Table!$AE$9/$AC$16)</f>
        <v>2.3632324431592715</v>
      </c>
      <c r="O49" s="43">
        <f>($L49*(Table!$AC$10/Table!$AC$9)/(Table!$AC$12-Table!$AC$14))</f>
        <v>11.706674278984664</v>
      </c>
      <c r="P49" s="43">
        <f>ROUND(($N49*(Table!$AE$10/Table!$AE$9)/(Table!$AC$12-Table!$AC$13)),2)</f>
        <v>19.399999999999999</v>
      </c>
      <c r="Q49" s="43">
        <f>'Raw Data'!C49</f>
        <v>0</v>
      </c>
      <c r="R49" s="43">
        <f>'Raw Data'!C49/'Raw Data'!I$30*100</f>
        <v>0</v>
      </c>
      <c r="S49" s="13">
        <f t="shared" si="7"/>
        <v>0</v>
      </c>
      <c r="T49" s="13">
        <f t="shared" si="8"/>
        <v>1</v>
      </c>
      <c r="U49" s="53">
        <f t="shared" si="9"/>
        <v>0</v>
      </c>
      <c r="V49" s="53">
        <f t="shared" si="10"/>
        <v>0</v>
      </c>
      <c r="W49" s="53">
        <f t="shared" si="11"/>
        <v>0</v>
      </c>
      <c r="X49" s="95">
        <f t="shared" si="12"/>
        <v>0</v>
      </c>
      <c r="AS49" s="114"/>
      <c r="AT49" s="114"/>
    </row>
    <row r="50" spans="1:46" ht="12.4" customHeight="1" x14ac:dyDescent="0.2">
      <c r="A50" s="43">
        <v>26.600929260253906</v>
      </c>
      <c r="B50" s="139">
        <v>0</v>
      </c>
      <c r="C50" s="139">
        <f t="shared" si="1"/>
        <v>1</v>
      </c>
      <c r="D50" s="49">
        <f t="shared" si="2"/>
        <v>0</v>
      </c>
      <c r="E50" s="42">
        <f>(2*Table!$AC$16*0.147)/A50</f>
        <v>3.4455595279579638</v>
      </c>
      <c r="F50" s="42">
        <f t="shared" si="3"/>
        <v>6.8911190559159277</v>
      </c>
      <c r="G50" s="43">
        <f>IF((('Raw Data'!C50)/('Raw Data'!C$136)*100)&lt;0,0,('Raw Data'!C50)/('Raw Data'!C$136)*100)</f>
        <v>0</v>
      </c>
      <c r="H50" s="43">
        <f t="shared" si="4"/>
        <v>0</v>
      </c>
      <c r="I50" s="21">
        <f t="shared" si="5"/>
        <v>3.9179808826887652E-2</v>
      </c>
      <c r="J50" s="42">
        <f>'Raw Data'!F50/I50</f>
        <v>0</v>
      </c>
      <c r="K50" s="143">
        <f t="shared" si="6"/>
        <v>5.7766569082139431E-2</v>
      </c>
      <c r="L50" s="43">
        <f>A50*Table!$AC$9/$AC$16</f>
        <v>5.9729050776832429</v>
      </c>
      <c r="M50" s="43">
        <f>A50*Table!$AD$9/$AC$16</f>
        <v>2.0478531694913977</v>
      </c>
      <c r="N50" s="43">
        <f>ABS(A50*Table!$AE$9/$AC$16)</f>
        <v>2.586343765833377</v>
      </c>
      <c r="O50" s="43">
        <f>($L50*(Table!$AC$10/Table!$AC$9)/(Table!$AC$12-Table!$AC$14))</f>
        <v>12.81189420352476</v>
      </c>
      <c r="P50" s="43">
        <f>ROUND(($N50*(Table!$AE$10/Table!$AE$9)/(Table!$AC$12-Table!$AC$13)),2)</f>
        <v>21.23</v>
      </c>
      <c r="Q50" s="43">
        <f>'Raw Data'!C50</f>
        <v>0</v>
      </c>
      <c r="R50" s="43">
        <f>'Raw Data'!C50/'Raw Data'!I$30*100</f>
        <v>0</v>
      </c>
      <c r="S50" s="13">
        <f t="shared" si="7"/>
        <v>0</v>
      </c>
      <c r="T50" s="13">
        <f t="shared" si="8"/>
        <v>1</v>
      </c>
      <c r="U50" s="53">
        <f t="shared" si="9"/>
        <v>0</v>
      </c>
      <c r="V50" s="53">
        <f t="shared" si="10"/>
        <v>0</v>
      </c>
      <c r="W50" s="53">
        <f t="shared" si="11"/>
        <v>0</v>
      </c>
      <c r="X50" s="95">
        <f t="shared" si="12"/>
        <v>0</v>
      </c>
      <c r="AS50" s="114"/>
      <c r="AT50" s="114"/>
    </row>
    <row r="51" spans="1:46" ht="12.4" customHeight="1" x14ac:dyDescent="0.2">
      <c r="A51" s="43">
        <v>28.999906539916992</v>
      </c>
      <c r="B51" s="139">
        <v>0</v>
      </c>
      <c r="C51" s="139">
        <f t="shared" si="1"/>
        <v>1</v>
      </c>
      <c r="D51" s="49">
        <f t="shared" si="2"/>
        <v>0</v>
      </c>
      <c r="E51" s="42">
        <f>(2*Table!$AC$16*0.147)/A51</f>
        <v>3.1605303671942795</v>
      </c>
      <c r="F51" s="42">
        <f t="shared" si="3"/>
        <v>6.321060734388559</v>
      </c>
      <c r="G51" s="43">
        <f>IF((('Raw Data'!C51)/('Raw Data'!C$136)*100)&lt;0,0,('Raw Data'!C51)/('Raw Data'!C$136)*100)</f>
        <v>0</v>
      </c>
      <c r="H51" s="43">
        <f t="shared" si="4"/>
        <v>0</v>
      </c>
      <c r="I51" s="21">
        <f t="shared" si="5"/>
        <v>3.7499790000835864E-2</v>
      </c>
      <c r="J51" s="42">
        <f>'Raw Data'!F51/I51</f>
        <v>0</v>
      </c>
      <c r="K51" s="143">
        <f t="shared" si="6"/>
        <v>6.2976187340070086E-2</v>
      </c>
      <c r="L51" s="43">
        <f>A51*Table!$AC$9/$AC$16</f>
        <v>6.5115653415694377</v>
      </c>
      <c r="M51" s="43">
        <f>A51*Table!$AD$9/$AC$16</f>
        <v>2.2325366885380928</v>
      </c>
      <c r="N51" s="43">
        <f>ABS(A51*Table!$AE$9/$AC$16)</f>
        <v>2.8195905021007146</v>
      </c>
      <c r="O51" s="43">
        <f>($L51*(Table!$AC$10/Table!$AC$9)/(Table!$AC$12-Table!$AC$14))</f>
        <v>13.967321624988072</v>
      </c>
      <c r="P51" s="43">
        <f>ROUND(($N51*(Table!$AE$10/Table!$AE$9)/(Table!$AC$12-Table!$AC$13)),2)</f>
        <v>23.15</v>
      </c>
      <c r="Q51" s="43">
        <f>'Raw Data'!C51</f>
        <v>0</v>
      </c>
      <c r="R51" s="43">
        <f>'Raw Data'!C51/'Raw Data'!I$30*100</f>
        <v>0</v>
      </c>
      <c r="S51" s="13">
        <f t="shared" si="7"/>
        <v>0</v>
      </c>
      <c r="T51" s="13">
        <f t="shared" si="8"/>
        <v>1</v>
      </c>
      <c r="U51" s="53">
        <f t="shared" si="9"/>
        <v>0</v>
      </c>
      <c r="V51" s="53">
        <f t="shared" si="10"/>
        <v>0</v>
      </c>
      <c r="W51" s="53">
        <f t="shared" si="11"/>
        <v>0</v>
      </c>
      <c r="X51" s="95">
        <f t="shared" si="12"/>
        <v>0</v>
      </c>
      <c r="AS51" s="114"/>
      <c r="AT51" s="114"/>
    </row>
    <row r="52" spans="1:46" ht="12.4" customHeight="1" x14ac:dyDescent="0.2">
      <c r="A52" s="43">
        <v>32.723876953125</v>
      </c>
      <c r="B52" s="139">
        <v>0</v>
      </c>
      <c r="C52" s="139">
        <f t="shared" si="1"/>
        <v>1</v>
      </c>
      <c r="D52" s="49">
        <f t="shared" si="2"/>
        <v>0</v>
      </c>
      <c r="E52" s="42">
        <f>(2*Table!$AC$16*0.147)/A52</f>
        <v>2.800862666623948</v>
      </c>
      <c r="F52" s="42">
        <f t="shared" si="3"/>
        <v>5.601725333247896</v>
      </c>
      <c r="G52" s="43">
        <f>IF((('Raw Data'!C52)/('Raw Data'!C$136)*100)&lt;0,0,('Raw Data'!C52)/('Raw Data'!C$136)*100)</f>
        <v>0</v>
      </c>
      <c r="H52" s="43">
        <f t="shared" si="4"/>
        <v>0</v>
      </c>
      <c r="I52" s="21">
        <f t="shared" si="5"/>
        <v>5.2468152708247284E-2</v>
      </c>
      <c r="J52" s="42">
        <f>'Raw Data'!F52/I52</f>
        <v>0</v>
      </c>
      <c r="K52" s="143">
        <f t="shared" si="6"/>
        <v>7.1063160243526102E-2</v>
      </c>
      <c r="L52" s="43">
        <f>A52*Table!$AC$9/$AC$16</f>
        <v>7.3477361975788478</v>
      </c>
      <c r="M52" s="43">
        <f>A52*Table!$AD$9/$AC$16</f>
        <v>2.5192238391698907</v>
      </c>
      <c r="N52" s="43">
        <f>ABS(A52*Table!$AE$9/$AC$16)</f>
        <v>3.1816631037048788</v>
      </c>
      <c r="O52" s="43">
        <f>($L52*(Table!$AC$10/Table!$AC$9)/(Table!$AC$12-Table!$AC$14))</f>
        <v>15.760909904716536</v>
      </c>
      <c r="P52" s="43">
        <f>ROUND(($N52*(Table!$AE$10/Table!$AE$9)/(Table!$AC$12-Table!$AC$13)),2)</f>
        <v>26.12</v>
      </c>
      <c r="Q52" s="43">
        <f>'Raw Data'!C52</f>
        <v>0</v>
      </c>
      <c r="R52" s="43">
        <f>'Raw Data'!C52/'Raw Data'!I$30*100</f>
        <v>0</v>
      </c>
      <c r="S52" s="13">
        <f t="shared" si="7"/>
        <v>0</v>
      </c>
      <c r="T52" s="13">
        <f t="shared" si="8"/>
        <v>1</v>
      </c>
      <c r="U52" s="53">
        <f t="shared" si="9"/>
        <v>0</v>
      </c>
      <c r="V52" s="53">
        <f t="shared" si="10"/>
        <v>0</v>
      </c>
      <c r="W52" s="53">
        <f t="shared" si="11"/>
        <v>0</v>
      </c>
      <c r="X52" s="95">
        <f t="shared" si="12"/>
        <v>0</v>
      </c>
      <c r="AS52" s="114"/>
      <c r="AT52" s="114"/>
    </row>
    <row r="53" spans="1:46" ht="12.4" customHeight="1" x14ac:dyDescent="0.2">
      <c r="A53" s="43">
        <v>34.605560302734375</v>
      </c>
      <c r="B53" s="139">
        <v>0</v>
      </c>
      <c r="C53" s="139">
        <f t="shared" si="1"/>
        <v>1</v>
      </c>
      <c r="D53" s="49">
        <f t="shared" si="2"/>
        <v>0</v>
      </c>
      <c r="E53" s="42">
        <f>(2*Table!$AC$16*0.147)/A53</f>
        <v>2.6485652728460942</v>
      </c>
      <c r="F53" s="42">
        <f t="shared" si="3"/>
        <v>5.2971305456921884</v>
      </c>
      <c r="G53" s="43">
        <f>IF((('Raw Data'!C53)/('Raw Data'!C$136)*100)&lt;0,0,('Raw Data'!C53)/('Raw Data'!C$136)*100)</f>
        <v>0</v>
      </c>
      <c r="H53" s="43">
        <f t="shared" si="4"/>
        <v>0</v>
      </c>
      <c r="I53" s="21">
        <f t="shared" si="5"/>
        <v>2.4281134369786683E-2</v>
      </c>
      <c r="J53" s="42">
        <f>'Raw Data'!F53/I53</f>
        <v>0</v>
      </c>
      <c r="K53" s="143">
        <f t="shared" si="6"/>
        <v>7.5149423176014502E-2</v>
      </c>
      <c r="L53" s="43">
        <f>A53*Table!$AC$9/$AC$16</f>
        <v>7.7702445965717697</v>
      </c>
      <c r="M53" s="43">
        <f>A53*Table!$AD$9/$AC$16</f>
        <v>2.6640838616817497</v>
      </c>
      <c r="N53" s="43">
        <f>ABS(A53*Table!$AE$9/$AC$16)</f>
        <v>3.3646146071249596</v>
      </c>
      <c r="O53" s="43">
        <f>($L53*(Table!$AC$10/Table!$AC$9)/(Table!$AC$12-Table!$AC$14))</f>
        <v>16.667191326837777</v>
      </c>
      <c r="P53" s="43">
        <f>ROUND(($N53*(Table!$AE$10/Table!$AE$9)/(Table!$AC$12-Table!$AC$13)),2)</f>
        <v>27.62</v>
      </c>
      <c r="Q53" s="43">
        <f>'Raw Data'!C53</f>
        <v>0</v>
      </c>
      <c r="R53" s="43">
        <f>'Raw Data'!C53/'Raw Data'!I$30*100</f>
        <v>0</v>
      </c>
      <c r="S53" s="13">
        <f t="shared" si="7"/>
        <v>0</v>
      </c>
      <c r="T53" s="13">
        <f t="shared" si="8"/>
        <v>1</v>
      </c>
      <c r="U53" s="53">
        <f t="shared" si="9"/>
        <v>0</v>
      </c>
      <c r="V53" s="53">
        <f t="shared" si="10"/>
        <v>0</v>
      </c>
      <c r="W53" s="53">
        <f t="shared" si="11"/>
        <v>0</v>
      </c>
      <c r="X53" s="95">
        <f t="shared" si="12"/>
        <v>0</v>
      </c>
      <c r="Z53" s="139"/>
      <c r="AS53" s="114"/>
      <c r="AT53" s="114"/>
    </row>
    <row r="54" spans="1:46" ht="12.4" customHeight="1" x14ac:dyDescent="0.2">
      <c r="A54" s="43">
        <v>36.36199951171875</v>
      </c>
      <c r="B54" s="139">
        <v>0</v>
      </c>
      <c r="C54" s="139">
        <f t="shared" si="1"/>
        <v>1</v>
      </c>
      <c r="D54" s="49">
        <f t="shared" si="2"/>
        <v>0</v>
      </c>
      <c r="E54" s="42">
        <f>(2*Table!$AC$16*0.147)/A54</f>
        <v>2.5206283069132387</v>
      </c>
      <c r="F54" s="42">
        <f t="shared" si="3"/>
        <v>5.0412566138264774</v>
      </c>
      <c r="G54" s="43">
        <f>IF((('Raw Data'!C54)/('Raw Data'!C$136)*100)&lt;0,0,('Raw Data'!C54)/('Raw Data'!C$136)*100)</f>
        <v>0</v>
      </c>
      <c r="H54" s="43">
        <f t="shared" si="4"/>
        <v>0</v>
      </c>
      <c r="I54" s="21">
        <f t="shared" si="5"/>
        <v>2.1501871299255737E-2</v>
      </c>
      <c r="J54" s="42">
        <f>'Raw Data'!F54/I54</f>
        <v>0</v>
      </c>
      <c r="K54" s="143">
        <f t="shared" si="6"/>
        <v>7.8963705974622489E-2</v>
      </c>
      <c r="L54" s="43">
        <f>A54*Table!$AC$9/$AC$16</f>
        <v>8.1646309944056235</v>
      </c>
      <c r="M54" s="43">
        <f>A54*Table!$AD$9/$AC$16</f>
        <v>2.7993020552247856</v>
      </c>
      <c r="N54" s="43">
        <f>ABS(A54*Table!$AE$9/$AC$16)</f>
        <v>3.535388926840537</v>
      </c>
      <c r="O54" s="43">
        <f>($L54*(Table!$AC$10/Table!$AC$9)/(Table!$AC$12-Table!$AC$14))</f>
        <v>17.513150996151062</v>
      </c>
      <c r="P54" s="43">
        <f>ROUND(($N54*(Table!$AE$10/Table!$AE$9)/(Table!$AC$12-Table!$AC$13)),2)</f>
        <v>29.03</v>
      </c>
      <c r="Q54" s="43">
        <f>'Raw Data'!C54</f>
        <v>0</v>
      </c>
      <c r="R54" s="43">
        <f>'Raw Data'!C54/'Raw Data'!I$30*100</f>
        <v>0</v>
      </c>
      <c r="S54" s="13">
        <f t="shared" si="7"/>
        <v>0</v>
      </c>
      <c r="T54" s="13">
        <f t="shared" si="8"/>
        <v>1</v>
      </c>
      <c r="U54" s="53">
        <f t="shared" si="9"/>
        <v>0</v>
      </c>
      <c r="V54" s="53">
        <f t="shared" si="10"/>
        <v>0</v>
      </c>
      <c r="W54" s="53">
        <f t="shared" si="11"/>
        <v>0</v>
      </c>
      <c r="X54" s="95">
        <f t="shared" si="12"/>
        <v>0</v>
      </c>
      <c r="Z54" s="139"/>
      <c r="AS54" s="114"/>
      <c r="AT54" s="114"/>
    </row>
    <row r="55" spans="1:46" ht="12.4" customHeight="1" x14ac:dyDescent="0.2">
      <c r="A55" s="43">
        <v>40.809551239013672</v>
      </c>
      <c r="B55" s="139">
        <v>0</v>
      </c>
      <c r="C55" s="139">
        <f t="shared" si="1"/>
        <v>1</v>
      </c>
      <c r="D55" s="49">
        <f t="shared" si="2"/>
        <v>0</v>
      </c>
      <c r="E55" s="42">
        <f>(2*Table!$AC$16*0.147)/A55</f>
        <v>2.2459224000871139</v>
      </c>
      <c r="F55" s="42">
        <f t="shared" si="3"/>
        <v>4.4918448001742277</v>
      </c>
      <c r="G55" s="43">
        <f>IF((('Raw Data'!C55)/('Raw Data'!C$136)*100)&lt;0,0,('Raw Data'!C55)/('Raw Data'!C$136)*100)</f>
        <v>0</v>
      </c>
      <c r="H55" s="43">
        <f t="shared" si="4"/>
        <v>0</v>
      </c>
      <c r="I55" s="21">
        <f t="shared" si="5"/>
        <v>5.0114062447033814E-2</v>
      </c>
      <c r="J55" s="42">
        <f>'Raw Data'!F55/I55</f>
        <v>0</v>
      </c>
      <c r="K55" s="143">
        <f t="shared" si="6"/>
        <v>8.862200781767314E-2</v>
      </c>
      <c r="L55" s="43">
        <f>A55*Table!$AC$9/$AC$16</f>
        <v>9.1632729604556911</v>
      </c>
      <c r="M55" s="43">
        <f>A55*Table!$AD$9/$AC$16</f>
        <v>3.1416935864419515</v>
      </c>
      <c r="N55" s="43">
        <f>ABS(A55*Table!$AE$9/$AC$16)</f>
        <v>3.9678135827828345</v>
      </c>
      <c r="O55" s="43">
        <f>($L55*(Table!$AC$10/Table!$AC$9)/(Table!$AC$12-Table!$AC$14))</f>
        <v>19.655240155417616</v>
      </c>
      <c r="P55" s="43">
        <f>ROUND(($N55*(Table!$AE$10/Table!$AE$9)/(Table!$AC$12-Table!$AC$13)),2)</f>
        <v>32.58</v>
      </c>
      <c r="Q55" s="43">
        <f>'Raw Data'!C55</f>
        <v>0</v>
      </c>
      <c r="R55" s="43">
        <f>'Raw Data'!C55/'Raw Data'!I$30*100</f>
        <v>0</v>
      </c>
      <c r="S55" s="13">
        <f t="shared" si="7"/>
        <v>0</v>
      </c>
      <c r="T55" s="13">
        <f t="shared" si="8"/>
        <v>1</v>
      </c>
      <c r="U55" s="53">
        <f t="shared" si="9"/>
        <v>0</v>
      </c>
      <c r="V55" s="53">
        <f t="shared" si="10"/>
        <v>0</v>
      </c>
      <c r="W55" s="53">
        <f t="shared" si="11"/>
        <v>0</v>
      </c>
      <c r="X55" s="95">
        <f t="shared" si="12"/>
        <v>0</v>
      </c>
      <c r="Z55" s="139"/>
      <c r="AS55" s="114"/>
      <c r="AT55" s="114"/>
    </row>
    <row r="56" spans="1:46" ht="12.4" customHeight="1" x14ac:dyDescent="0.2">
      <c r="A56" s="43">
        <v>47.698688507080078</v>
      </c>
      <c r="B56" s="139">
        <v>5.9541530217326585E-5</v>
      </c>
      <c r="C56" s="139">
        <f t="shared" si="1"/>
        <v>0.99994045846978263</v>
      </c>
      <c r="D56" s="49">
        <f t="shared" si="2"/>
        <v>5.9541530217326585E-5</v>
      </c>
      <c r="E56" s="42">
        <f>(2*Table!$AC$16*0.147)/A56</f>
        <v>1.9215430892109111</v>
      </c>
      <c r="F56" s="42">
        <f t="shared" si="3"/>
        <v>3.8430861784218222</v>
      </c>
      <c r="G56" s="43">
        <f>IF((('Raw Data'!C56)/('Raw Data'!C$136)*100)&lt;0,0,('Raw Data'!C56)/('Raw Data'!C$136)*100)</f>
        <v>5.9541530217328293E-3</v>
      </c>
      <c r="H56" s="43">
        <f t="shared" si="4"/>
        <v>5.9541530217328293E-3</v>
      </c>
      <c r="I56" s="21">
        <f t="shared" si="5"/>
        <v>6.774461902484824E-2</v>
      </c>
      <c r="J56" s="42">
        <f>'Raw Data'!F56/I56</f>
        <v>8.7891158108792204E-4</v>
      </c>
      <c r="K56" s="143">
        <f t="shared" si="6"/>
        <v>0.10358245600422274</v>
      </c>
      <c r="L56" s="43">
        <f>A56*Table!$AC$9/$AC$16</f>
        <v>10.710142341096942</v>
      </c>
      <c r="M56" s="43">
        <f>A56*Table!$AD$9/$AC$16</f>
        <v>3.6720488026618088</v>
      </c>
      <c r="N56" s="43">
        <f>ABS(A56*Table!$AE$9/$AC$16)</f>
        <v>4.6376276727686472</v>
      </c>
      <c r="O56" s="43">
        <f>($L56*(Table!$AC$10/Table!$AC$9)/(Table!$AC$12-Table!$AC$14))</f>
        <v>22.973278294931237</v>
      </c>
      <c r="P56" s="43">
        <f>ROUND(($N56*(Table!$AE$10/Table!$AE$9)/(Table!$AC$12-Table!$AC$13)),2)</f>
        <v>38.08</v>
      </c>
      <c r="Q56" s="43">
        <f>'Raw Data'!C56</f>
        <v>1.0000000000000286E-4</v>
      </c>
      <c r="R56" s="43">
        <f>'Raw Data'!C56/'Raw Data'!I$30*100</f>
        <v>9.3300791058154758E-4</v>
      </c>
      <c r="S56" s="13">
        <f t="shared" si="7"/>
        <v>6.7385444743935324E-4</v>
      </c>
      <c r="T56" s="13">
        <f t="shared" si="8"/>
        <v>0.99912071685685999</v>
      </c>
      <c r="U56" s="53">
        <f t="shared" si="9"/>
        <v>1.9560452074967595E-5</v>
      </c>
      <c r="V56" s="53">
        <f t="shared" si="10"/>
        <v>4.352057202804399E-6</v>
      </c>
      <c r="W56" s="53">
        <f t="shared" si="11"/>
        <v>3.1101144235968771E-4</v>
      </c>
      <c r="X56" s="95">
        <f t="shared" si="12"/>
        <v>3.1101144235968771E-4</v>
      </c>
      <c r="Z56" s="139"/>
      <c r="AS56" s="114"/>
      <c r="AT56" s="114"/>
    </row>
    <row r="57" spans="1:46" ht="12.4" customHeight="1" x14ac:dyDescent="0.2">
      <c r="A57" s="43">
        <v>52.025604248046875</v>
      </c>
      <c r="B57" s="139">
        <v>1.1908306043465317E-4</v>
      </c>
      <c r="C57" s="139">
        <f t="shared" si="1"/>
        <v>0.99988091693956538</v>
      </c>
      <c r="D57" s="49">
        <f t="shared" si="2"/>
        <v>5.9541530217326585E-5</v>
      </c>
      <c r="E57" s="42">
        <f>(2*Table!$AC$16*0.147)/A57</f>
        <v>1.761730336243899</v>
      </c>
      <c r="F57" s="42">
        <f t="shared" si="3"/>
        <v>3.5234606724877979</v>
      </c>
      <c r="G57" s="43">
        <f>IF((('Raw Data'!C57)/('Raw Data'!C$136)*100)&lt;0,0,('Raw Data'!C57)/('Raw Data'!C$136)*100)</f>
        <v>1.1908306043465246E-2</v>
      </c>
      <c r="H57" s="43">
        <f t="shared" si="4"/>
        <v>5.9541530217324164E-3</v>
      </c>
      <c r="I57" s="21">
        <f t="shared" si="5"/>
        <v>3.7710694880044554E-2</v>
      </c>
      <c r="J57" s="42">
        <f>'Raw Data'!F57/I57</f>
        <v>1.5789030249037355E-3</v>
      </c>
      <c r="K57" s="143">
        <f t="shared" si="6"/>
        <v>0.11297878477972241</v>
      </c>
      <c r="L57" s="43">
        <f>A57*Table!$AC$9/$AC$16</f>
        <v>11.681697009246962</v>
      </c>
      <c r="M57" s="43">
        <f>A57*Table!$AD$9/$AC$16</f>
        <v>4.0051532603132438</v>
      </c>
      <c r="N57" s="43">
        <f>ABS(A57*Table!$AE$9/$AC$16)</f>
        <v>5.058323184660285</v>
      </c>
      <c r="O57" s="43">
        <f>($L57*(Table!$AC$10/Table!$AC$9)/(Table!$AC$12-Table!$AC$14))</f>
        <v>25.057265142099883</v>
      </c>
      <c r="P57" s="43">
        <f>ROUND(($N57*(Table!$AE$10/Table!$AE$9)/(Table!$AC$12-Table!$AC$13)),2)</f>
        <v>41.53</v>
      </c>
      <c r="Q57" s="43">
        <f>'Raw Data'!C57</f>
        <v>1.9999999999999879E-4</v>
      </c>
      <c r="R57" s="43">
        <f>'Raw Data'!C57/'Raw Data'!I$30*100</f>
        <v>1.8660158211630303E-3</v>
      </c>
      <c r="S57" s="13">
        <f t="shared" si="7"/>
        <v>6.7385444743935324E-4</v>
      </c>
      <c r="T57" s="13">
        <f t="shared" si="8"/>
        <v>0.99838160978520341</v>
      </c>
      <c r="U57" s="53">
        <f t="shared" si="9"/>
        <v>3.586725898014118E-5</v>
      </c>
      <c r="V57" s="53">
        <f t="shared" si="10"/>
        <v>1.2132981423355907E-5</v>
      </c>
      <c r="W57" s="53">
        <f t="shared" si="11"/>
        <v>2.6142973194424207E-4</v>
      </c>
      <c r="X57" s="95">
        <f t="shared" si="12"/>
        <v>5.7244117430392972E-4</v>
      </c>
      <c r="Z57" s="139"/>
      <c r="AS57" s="114"/>
      <c r="AT57" s="114"/>
    </row>
    <row r="58" spans="1:46" ht="12.4" customHeight="1" x14ac:dyDescent="0.2">
      <c r="A58" s="43">
        <v>55.131130218505859</v>
      </c>
      <c r="B58" s="139">
        <v>2.3816612086930634E-4</v>
      </c>
      <c r="C58" s="139">
        <f t="shared" si="1"/>
        <v>0.99976183387913065</v>
      </c>
      <c r="D58" s="49">
        <f t="shared" si="2"/>
        <v>1.1908306043465317E-4</v>
      </c>
      <c r="E58" s="42">
        <f>(2*Table!$AC$16*0.147)/A58</f>
        <v>1.6624924049613949</v>
      </c>
      <c r="F58" s="42">
        <f t="shared" si="3"/>
        <v>3.3249848099227899</v>
      </c>
      <c r="G58" s="43">
        <f>IF((('Raw Data'!C58)/('Raw Data'!C$136)*100)&lt;0,0,('Raw Data'!C58)/('Raw Data'!C$136)*100)</f>
        <v>2.3816612086930491E-2</v>
      </c>
      <c r="H58" s="43">
        <f t="shared" si="4"/>
        <v>1.1908306043465246E-2</v>
      </c>
      <c r="I58" s="21">
        <f t="shared" si="5"/>
        <v>2.5179762847996112E-2</v>
      </c>
      <c r="J58" s="42">
        <f>'Raw Data'!F58/I58</f>
        <v>4.7293162033942458E-3</v>
      </c>
      <c r="K58" s="143">
        <f t="shared" si="6"/>
        <v>0.11972274393820728</v>
      </c>
      <c r="L58" s="43">
        <f>A58*Table!$AC$9/$AC$16</f>
        <v>12.37900392121063</v>
      </c>
      <c r="M58" s="43">
        <f>A58*Table!$AD$9/$AC$16</f>
        <v>4.2442299158436452</v>
      </c>
      <c r="N58" s="43">
        <f>ABS(A58*Table!$AE$9/$AC$16)</f>
        <v>5.3602659346577939</v>
      </c>
      <c r="O58" s="43">
        <f>($L58*(Table!$AC$10/Table!$AC$9)/(Table!$AC$12-Table!$AC$14))</f>
        <v>26.552989963986771</v>
      </c>
      <c r="P58" s="43">
        <f>ROUND(($N58*(Table!$AE$10/Table!$AE$9)/(Table!$AC$12-Table!$AC$13)),2)</f>
        <v>44.01</v>
      </c>
      <c r="Q58" s="43">
        <f>'Raw Data'!C58</f>
        <v>3.9999999999999758E-4</v>
      </c>
      <c r="R58" s="43">
        <f>'Raw Data'!C58/'Raw Data'!I$30*100</f>
        <v>3.7320316423260606E-3</v>
      </c>
      <c r="S58" s="13">
        <f t="shared" si="7"/>
        <v>1.3477088948787065E-3</v>
      </c>
      <c r="T58" s="13">
        <f t="shared" si="8"/>
        <v>0.99706524023580623</v>
      </c>
      <c r="U58" s="53">
        <f t="shared" si="9"/>
        <v>6.7693726349062403E-5</v>
      </c>
      <c r="V58" s="53">
        <f t="shared" si="10"/>
        <v>3.5516509405245569E-5</v>
      </c>
      <c r="W58" s="53">
        <f t="shared" si="11"/>
        <v>4.6561337543031057E-4</v>
      </c>
      <c r="X58" s="95">
        <f t="shared" si="12"/>
        <v>1.0380545497342404E-3</v>
      </c>
      <c r="Z58" s="139"/>
      <c r="AS58" s="114"/>
      <c r="AT58" s="114"/>
    </row>
    <row r="59" spans="1:46" ht="12.4" customHeight="1" x14ac:dyDescent="0.2">
      <c r="A59" s="43">
        <v>58.93280029296875</v>
      </c>
      <c r="B59" s="139">
        <v>7.1449836260791899E-4</v>
      </c>
      <c r="C59" s="139">
        <f t="shared" si="1"/>
        <v>0.99928550163739205</v>
      </c>
      <c r="D59" s="49">
        <f t="shared" si="2"/>
        <v>4.7633224173861263E-4</v>
      </c>
      <c r="E59" s="42">
        <f>(2*Table!$AC$16*0.147)/A59</f>
        <v>1.5552474141660459</v>
      </c>
      <c r="F59" s="42">
        <f t="shared" si="3"/>
        <v>3.1104948283320919</v>
      </c>
      <c r="G59" s="43">
        <f>IF((('Raw Data'!C59)/('Raw Data'!C$136)*100)&lt;0,0,('Raw Data'!C59)/('Raw Data'!C$136)*100)</f>
        <v>7.1449836260791891E-2</v>
      </c>
      <c r="H59" s="43">
        <f t="shared" si="4"/>
        <v>4.7633224173861399E-2</v>
      </c>
      <c r="I59" s="21">
        <f t="shared" si="5"/>
        <v>2.8960181985398126E-2</v>
      </c>
      <c r="J59" s="42">
        <f>'Raw Data'!F59/I59</f>
        <v>1.6447833165509223E-2</v>
      </c>
      <c r="K59" s="143">
        <f t="shared" si="6"/>
        <v>0.12797844940004971</v>
      </c>
      <c r="L59" s="43">
        <f>A59*Table!$AC$9/$AC$16</f>
        <v>13.232621261765864</v>
      </c>
      <c r="M59" s="43">
        <f>A59*Table!$AD$9/$AC$16</f>
        <v>4.5368987183197254</v>
      </c>
      <c r="N59" s="43">
        <f>ABS(A59*Table!$AE$9/$AC$16)</f>
        <v>5.7298930856736661</v>
      </c>
      <c r="O59" s="43">
        <f>($L59*(Table!$AC$10/Table!$AC$9)/(Table!$AC$12-Table!$AC$14))</f>
        <v>28.384000990488772</v>
      </c>
      <c r="P59" s="43">
        <f>ROUND(($N59*(Table!$AE$10/Table!$AE$9)/(Table!$AC$12-Table!$AC$13)),2)</f>
        <v>47.04</v>
      </c>
      <c r="Q59" s="43">
        <f>'Raw Data'!C59</f>
        <v>1.1999999999999997E-3</v>
      </c>
      <c r="R59" s="43">
        <f>'Raw Data'!C59/'Raw Data'!I$30*100</f>
        <v>1.1196094926978246E-2</v>
      </c>
      <c r="S59" s="13">
        <f t="shared" si="7"/>
        <v>5.3908355795148251E-3</v>
      </c>
      <c r="T59" s="13">
        <f t="shared" si="8"/>
        <v>0.99245718734874577</v>
      </c>
      <c r="U59" s="53">
        <f t="shared" si="9"/>
        <v>1.8998070465546922E-4</v>
      </c>
      <c r="V59" s="53">
        <f t="shared" si="10"/>
        <v>2.0336239613015481E-4</v>
      </c>
      <c r="W59" s="53">
        <f t="shared" si="11"/>
        <v>1.6299154442521377E-3</v>
      </c>
      <c r="X59" s="95">
        <f t="shared" si="12"/>
        <v>2.6679699939863781E-3</v>
      </c>
      <c r="Z59" s="139"/>
      <c r="AS59" s="114"/>
      <c r="AT59" s="114"/>
    </row>
    <row r="60" spans="1:46" ht="12.4" customHeight="1" x14ac:dyDescent="0.2">
      <c r="A60" s="43">
        <v>65.401535034179688</v>
      </c>
      <c r="B60" s="139">
        <v>2.6198273295623699E-3</v>
      </c>
      <c r="C60" s="139">
        <f t="shared" si="1"/>
        <v>0.99738017267043766</v>
      </c>
      <c r="D60" s="49">
        <f t="shared" si="2"/>
        <v>1.9053289669544509E-3</v>
      </c>
      <c r="E60" s="42">
        <f>(2*Table!$AC$16*0.147)/A60</f>
        <v>1.4014210097255899</v>
      </c>
      <c r="F60" s="42">
        <f t="shared" si="3"/>
        <v>2.8028420194511798</v>
      </c>
      <c r="G60" s="43">
        <f>IF((('Raw Data'!C60)/('Raw Data'!C$136)*100)&lt;0,0,('Raw Data'!C60)/('Raw Data'!C$136)*100)</f>
        <v>0.26198273295623703</v>
      </c>
      <c r="H60" s="43">
        <f t="shared" si="4"/>
        <v>0.19053289669544515</v>
      </c>
      <c r="I60" s="21">
        <f t="shared" si="5"/>
        <v>4.5230863903037821E-2</v>
      </c>
      <c r="J60" s="42">
        <f>'Raw Data'!F60/I60</f>
        <v>4.2124531847079857E-2</v>
      </c>
      <c r="K60" s="143">
        <f t="shared" si="6"/>
        <v>0.14202595159992701</v>
      </c>
      <c r="L60" s="43">
        <f>A60*Table!$AC$9/$AC$16</f>
        <v>14.685094527039906</v>
      </c>
      <c r="M60" s="43">
        <f>A60*Table!$AD$9/$AC$16</f>
        <v>5.034889552127968</v>
      </c>
      <c r="N60" s="43">
        <f>ABS(A60*Table!$AE$9/$AC$16)</f>
        <v>6.3588324586961926</v>
      </c>
      <c r="O60" s="43">
        <f>($L60*(Table!$AC$10/Table!$AC$9)/(Table!$AC$12-Table!$AC$14))</f>
        <v>31.499559260059865</v>
      </c>
      <c r="P60" s="43">
        <f>ROUND(($N60*(Table!$AE$10/Table!$AE$9)/(Table!$AC$12-Table!$AC$13)),2)</f>
        <v>52.21</v>
      </c>
      <c r="Q60" s="43">
        <f>'Raw Data'!C60</f>
        <v>4.4000000000000011E-3</v>
      </c>
      <c r="R60" s="43">
        <f>'Raw Data'!C60/'Raw Data'!I$30*100</f>
        <v>4.1052348065586927E-2</v>
      </c>
      <c r="S60" s="13">
        <f t="shared" si="7"/>
        <v>2.1563342318059304E-2</v>
      </c>
      <c r="T60" s="13">
        <f t="shared" si="8"/>
        <v>0.97749084351466464</v>
      </c>
      <c r="U60" s="53">
        <f t="shared" si="9"/>
        <v>6.2769701115015781E-4</v>
      </c>
      <c r="V60" s="53">
        <f t="shared" si="10"/>
        <v>1.5345047897212809E-3</v>
      </c>
      <c r="W60" s="53">
        <f t="shared" si="11"/>
        <v>5.2937489123997096E-3</v>
      </c>
      <c r="X60" s="95">
        <f t="shared" si="12"/>
        <v>7.9617189063860873E-3</v>
      </c>
      <c r="Z60" s="139"/>
      <c r="AS60" s="114"/>
      <c r="AT60" s="114"/>
    </row>
    <row r="61" spans="1:46" ht="12.4" customHeight="1" x14ac:dyDescent="0.2">
      <c r="A61" s="43">
        <v>72.479629516601563</v>
      </c>
      <c r="B61" s="139">
        <v>5.1801131289074126E-3</v>
      </c>
      <c r="C61" s="139">
        <f t="shared" si="1"/>
        <v>0.99481988687109257</v>
      </c>
      <c r="D61" s="49">
        <f t="shared" si="2"/>
        <v>2.5602857993450427E-3</v>
      </c>
      <c r="E61" s="42">
        <f>(2*Table!$AC$16*0.147)/A61</f>
        <v>1.2645633797591351</v>
      </c>
      <c r="F61" s="42">
        <f t="shared" si="3"/>
        <v>2.5291267595182703</v>
      </c>
      <c r="G61" s="43">
        <f>IF((('Raw Data'!C61)/('Raw Data'!C$136)*100)&lt;0,0,('Raw Data'!C61)/('Raw Data'!C$136)*100)</f>
        <v>0.51801131289074132</v>
      </c>
      <c r="H61" s="43">
        <f t="shared" si="4"/>
        <v>0.25602857993450429</v>
      </c>
      <c r="I61" s="21">
        <f t="shared" si="5"/>
        <v>4.4628023020762811E-2</v>
      </c>
      <c r="J61" s="42">
        <f>'Raw Data'!F61/I61</f>
        <v>5.7369464879810851E-2</v>
      </c>
      <c r="K61" s="143">
        <f t="shared" si="6"/>
        <v>0.15739673920995467</v>
      </c>
      <c r="L61" s="43">
        <f>A61*Table!$AC$9/$AC$16</f>
        <v>16.274391880555587</v>
      </c>
      <c r="M61" s="43">
        <f>A61*Table!$AD$9/$AC$16</f>
        <v>5.579791501904773</v>
      </c>
      <c r="N61" s="43">
        <f>ABS(A61*Table!$AE$9/$AC$16)</f>
        <v>7.0470183998521714</v>
      </c>
      <c r="O61" s="43">
        <f>($L61*(Table!$AC$10/Table!$AC$9)/(Table!$AC$12-Table!$AC$14))</f>
        <v>34.908605492397236</v>
      </c>
      <c r="P61" s="43">
        <f>ROUND(($N61*(Table!$AE$10/Table!$AE$9)/(Table!$AC$12-Table!$AC$13)),2)</f>
        <v>57.86</v>
      </c>
      <c r="Q61" s="43">
        <f>'Raw Data'!C61</f>
        <v>8.6999999999999994E-3</v>
      </c>
      <c r="R61" s="43">
        <f>'Raw Data'!C61/'Raw Data'!I$30*100</f>
        <v>8.1171688220592314E-2</v>
      </c>
      <c r="S61" s="13">
        <f t="shared" si="7"/>
        <v>2.8975741239892182E-2</v>
      </c>
      <c r="T61" s="13">
        <f t="shared" si="8"/>
        <v>0.96111596262533894</v>
      </c>
      <c r="U61" s="53">
        <f t="shared" si="9"/>
        <v>1.1199241602359437E-3</v>
      </c>
      <c r="V61" s="53">
        <f t="shared" si="10"/>
        <v>4.0846123080969911E-3</v>
      </c>
      <c r="W61" s="53">
        <f t="shared" si="11"/>
        <v>5.7919628774761962E-3</v>
      </c>
      <c r="X61" s="95">
        <f t="shared" si="12"/>
        <v>1.3753681783862284E-2</v>
      </c>
      <c r="Z61" s="139"/>
      <c r="AS61" s="114"/>
      <c r="AT61" s="114"/>
    </row>
    <row r="62" spans="1:46" ht="12.4" customHeight="1" x14ac:dyDescent="0.2">
      <c r="A62" s="43">
        <v>78.002883911132813</v>
      </c>
      <c r="B62" s="139">
        <v>8.0381065793390886E-3</v>
      </c>
      <c r="C62" s="139">
        <f t="shared" si="1"/>
        <v>0.99196189342066088</v>
      </c>
      <c r="D62" s="49">
        <f t="shared" si="2"/>
        <v>2.857993450431676E-3</v>
      </c>
      <c r="E62" s="42">
        <f>(2*Table!$AC$16*0.147)/A62</f>
        <v>1.1750217513704304</v>
      </c>
      <c r="F62" s="42">
        <f t="shared" si="3"/>
        <v>2.3500435027408608</v>
      </c>
      <c r="G62" s="43">
        <f>IF((('Raw Data'!C62)/('Raw Data'!C$136)*100)&lt;0,0,('Raw Data'!C62)/('Raw Data'!C$136)*100)</f>
        <v>0.80381065793390882</v>
      </c>
      <c r="H62" s="43">
        <f t="shared" si="4"/>
        <v>0.28579934504316751</v>
      </c>
      <c r="I62" s="21">
        <f t="shared" si="5"/>
        <v>3.1894694903332743E-2</v>
      </c>
      <c r="J62" s="42">
        <f>'Raw Data'!F62/I62</f>
        <v>8.9607173202118903E-2</v>
      </c>
      <c r="K62" s="143">
        <f t="shared" si="6"/>
        <v>0.16939103660529589</v>
      </c>
      <c r="L62" s="43">
        <f>A62*Table!$AC$9/$AC$16</f>
        <v>17.514569390734685</v>
      </c>
      <c r="M62" s="43">
        <f>A62*Table!$AD$9/$AC$16</f>
        <v>6.0049952196804632</v>
      </c>
      <c r="N62" s="43">
        <f>ABS(A62*Table!$AE$9/$AC$16)</f>
        <v>7.5840310143607885</v>
      </c>
      <c r="O62" s="43">
        <f>($L62*(Table!$AC$10/Table!$AC$9)/(Table!$AC$12-Table!$AC$14))</f>
        <v>37.568788911914815</v>
      </c>
      <c r="P62" s="43">
        <f>ROUND(($N62*(Table!$AE$10/Table!$AE$9)/(Table!$AC$12-Table!$AC$13)),2)</f>
        <v>62.27</v>
      </c>
      <c r="Q62" s="43">
        <f>'Raw Data'!C62</f>
        <v>1.3499999999999998E-2</v>
      </c>
      <c r="R62" s="43">
        <f>'Raw Data'!C62/'Raw Data'!I$30*100</f>
        <v>0.12595606792850531</v>
      </c>
      <c r="S62" s="13">
        <f t="shared" si="7"/>
        <v>3.2345013477088951E-2</v>
      </c>
      <c r="T62" s="13">
        <f t="shared" si="8"/>
        <v>0.94533398070177854</v>
      </c>
      <c r="U62" s="53">
        <f t="shared" si="9"/>
        <v>1.6147616807604785E-3</v>
      </c>
      <c r="V62" s="53">
        <f t="shared" si="10"/>
        <v>7.5837543826492698E-3</v>
      </c>
      <c r="W62" s="53">
        <f t="shared" si="11"/>
        <v>5.5822484482222386E-3</v>
      </c>
      <c r="X62" s="95">
        <f t="shared" si="12"/>
        <v>1.9335930232084523E-2</v>
      </c>
      <c r="Z62" s="139"/>
      <c r="AS62" s="114"/>
      <c r="AT62" s="114"/>
    </row>
    <row r="63" spans="1:46" x14ac:dyDescent="0.2">
      <c r="A63" s="43">
        <v>86.993820190429687</v>
      </c>
      <c r="B63" s="139">
        <v>1.6969336111938078E-2</v>
      </c>
      <c r="C63" s="139">
        <f t="shared" si="1"/>
        <v>0.98303066388806193</v>
      </c>
      <c r="D63" s="49">
        <f t="shared" si="2"/>
        <v>8.9312295325989898E-3</v>
      </c>
      <c r="E63" s="42">
        <f>(2*Table!$AC$16*0.147)/A63</f>
        <v>1.0535815655016694</v>
      </c>
      <c r="F63" s="42">
        <f t="shared" si="3"/>
        <v>2.1071631310033387</v>
      </c>
      <c r="G63" s="43">
        <f>IF((('Raw Data'!C63)/('Raw Data'!C$136)*100)&lt;0,0,('Raw Data'!C63)/('Raw Data'!C$136)*100)</f>
        <v>1.6969336111938076</v>
      </c>
      <c r="H63" s="43">
        <f t="shared" si="4"/>
        <v>0.89312295325989877</v>
      </c>
      <c r="I63" s="21">
        <f t="shared" si="5"/>
        <v>4.7377742930732505E-2</v>
      </c>
      <c r="J63" s="42">
        <f>'Raw Data'!F63/I63</f>
        <v>0.18851108094483685</v>
      </c>
      <c r="K63" s="143">
        <f t="shared" si="6"/>
        <v>0.18891575082146983</v>
      </c>
      <c r="L63" s="43">
        <f>A63*Table!$AC$9/$AC$16</f>
        <v>19.533371381835735</v>
      </c>
      <c r="M63" s="43">
        <f>A63*Table!$AD$9/$AC$16</f>
        <v>6.6971559023436811</v>
      </c>
      <c r="N63" s="43">
        <f>ABS(A63*Table!$AE$9/$AC$16)</f>
        <v>8.4581979191128465</v>
      </c>
      <c r="O63" s="43">
        <f>($L63*(Table!$AC$10/Table!$AC$9)/(Table!$AC$12-Table!$AC$14))</f>
        <v>41.899123513161172</v>
      </c>
      <c r="P63" s="43">
        <f>ROUND(($N63*(Table!$AE$10/Table!$AE$9)/(Table!$AC$12-Table!$AC$13)),2)</f>
        <v>69.44</v>
      </c>
      <c r="Q63" s="43">
        <f>'Raw Data'!C63</f>
        <v>2.8499999999999998E-2</v>
      </c>
      <c r="R63" s="43">
        <f>'Raw Data'!C63/'Raw Data'!I$30*100</f>
        <v>0.26590725451573338</v>
      </c>
      <c r="S63" s="13">
        <f t="shared" si="7"/>
        <v>0.10107816711590301</v>
      </c>
      <c r="T63" s="13">
        <f t="shared" si="8"/>
        <v>0.90568280424510061</v>
      </c>
      <c r="U63" s="53">
        <f t="shared" si="9"/>
        <v>3.0566223432154345E-3</v>
      </c>
      <c r="V63" s="53">
        <f t="shared" si="10"/>
        <v>2.2310882622158884E-2</v>
      </c>
      <c r="W63" s="53">
        <f t="shared" si="11"/>
        <v>1.4025026724624523E-2</v>
      </c>
      <c r="X63" s="95">
        <f t="shared" si="12"/>
        <v>3.3360956956709042E-2</v>
      </c>
      <c r="AS63" s="114"/>
      <c r="AT63" s="114"/>
    </row>
    <row r="64" spans="1:46" x14ac:dyDescent="0.2">
      <c r="A64" s="43">
        <v>93.568252563476562</v>
      </c>
      <c r="B64" s="139">
        <v>2.774635308127419E-2</v>
      </c>
      <c r="C64" s="139">
        <f t="shared" si="1"/>
        <v>0.97225364691872584</v>
      </c>
      <c r="D64" s="49">
        <f t="shared" si="2"/>
        <v>1.0777016969336112E-2</v>
      </c>
      <c r="E64" s="42">
        <f>(2*Table!$AC$16*0.147)/A64</f>
        <v>0.97955324326512316</v>
      </c>
      <c r="F64" s="42">
        <f t="shared" si="3"/>
        <v>1.9591064865302463</v>
      </c>
      <c r="G64" s="43">
        <f>IF((('Raw Data'!C64)/('Raw Data'!C$136)*100)&lt;0,0,('Raw Data'!C64)/('Raw Data'!C$136)*100)</f>
        <v>2.7746353081274191</v>
      </c>
      <c r="H64" s="43">
        <f t="shared" si="4"/>
        <v>1.0777016969336115</v>
      </c>
      <c r="I64" s="21">
        <f t="shared" si="5"/>
        <v>3.1640116284122319E-2</v>
      </c>
      <c r="J64" s="42">
        <f>'Raw Data'!F64/I64</f>
        <v>0.34061243241208472</v>
      </c>
      <c r="K64" s="143">
        <f t="shared" si="6"/>
        <v>0.20319278596328055</v>
      </c>
      <c r="L64" s="43">
        <f>A64*Table!$AC$9/$AC$16</f>
        <v>21.009577724842337</v>
      </c>
      <c r="M64" s="43">
        <f>A64*Table!$AD$9/$AC$16</f>
        <v>7.203283791374516</v>
      </c>
      <c r="N64" s="43">
        <f>ABS(A64*Table!$AE$9/$AC$16)</f>
        <v>9.0974140162485675</v>
      </c>
      <c r="O64" s="43">
        <f>($L64*(Table!$AC$10/Table!$AC$9)/(Table!$AC$12-Table!$AC$14))</f>
        <v>45.065589285376106</v>
      </c>
      <c r="P64" s="43">
        <f>ROUND(($N64*(Table!$AE$10/Table!$AE$9)/(Table!$AC$12-Table!$AC$13)),2)</f>
        <v>74.69</v>
      </c>
      <c r="Q64" s="43">
        <f>'Raw Data'!C64</f>
        <v>4.6600000000000003E-2</v>
      </c>
      <c r="R64" s="43">
        <f>'Raw Data'!C64/'Raw Data'!I$30*100</f>
        <v>0.43478168633098874</v>
      </c>
      <c r="S64" s="13">
        <f t="shared" si="7"/>
        <v>0.12196765498652293</v>
      </c>
      <c r="T64" s="13">
        <f t="shared" si="8"/>
        <v>0.86432445838637129</v>
      </c>
      <c r="U64" s="53">
        <f t="shared" si="9"/>
        <v>4.6466795565732457E-3</v>
      </c>
      <c r="V64" s="53">
        <f t="shared" si="10"/>
        <v>4.5301360141610431E-2</v>
      </c>
      <c r="W64" s="53">
        <f t="shared" si="11"/>
        <v>1.4628870005627622E-2</v>
      </c>
      <c r="X64" s="95">
        <f t="shared" si="12"/>
        <v>4.7989826962336668E-2</v>
      </c>
      <c r="AS64" s="114"/>
      <c r="AT64" s="114"/>
    </row>
    <row r="65" spans="1:46" x14ac:dyDescent="0.2">
      <c r="A65" s="43">
        <v>101.06266021728516</v>
      </c>
      <c r="B65" s="139">
        <v>5.2694254242334024E-2</v>
      </c>
      <c r="C65" s="139">
        <f t="shared" si="1"/>
        <v>0.94730574575766602</v>
      </c>
      <c r="D65" s="49">
        <f t="shared" si="2"/>
        <v>2.4947901161059834E-2</v>
      </c>
      <c r="E65" s="42">
        <f>(2*Table!$AC$16*0.147)/A65</f>
        <v>0.90691344427452047</v>
      </c>
      <c r="F65" s="42">
        <f t="shared" si="3"/>
        <v>1.8138268885490409</v>
      </c>
      <c r="G65" s="43">
        <f>IF((('Raw Data'!C65)/('Raw Data'!C$136)*100)&lt;0,0,('Raw Data'!C65)/('Raw Data'!C$136)*100)</f>
        <v>5.2694254242334022</v>
      </c>
      <c r="H65" s="43">
        <f t="shared" si="4"/>
        <v>2.4947901161059831</v>
      </c>
      <c r="I65" s="21">
        <f t="shared" si="5"/>
        <v>3.3462206875680758E-2</v>
      </c>
      <c r="J65" s="42">
        <f>'Raw Data'!F65/I65</f>
        <v>0.74555456708957102</v>
      </c>
      <c r="K65" s="143">
        <f t="shared" si="6"/>
        <v>0.21946763911701267</v>
      </c>
      <c r="L65" s="43">
        <f>A65*Table!$AC$9/$AC$16</f>
        <v>22.692352980237089</v>
      </c>
      <c r="M65" s="43">
        <f>A65*Table!$AD$9/$AC$16</f>
        <v>7.7802353075098596</v>
      </c>
      <c r="N65" s="43">
        <f>ABS(A65*Table!$AE$9/$AC$16)</f>
        <v>9.8260770762644185</v>
      </c>
      <c r="O65" s="43">
        <f>($L65*(Table!$AC$10/Table!$AC$9)/(Table!$AC$12-Table!$AC$14))</f>
        <v>48.675145817754384</v>
      </c>
      <c r="P65" s="43">
        <f>ROUND(($N65*(Table!$AE$10/Table!$AE$9)/(Table!$AC$12-Table!$AC$13)),2)</f>
        <v>80.67</v>
      </c>
      <c r="Q65" s="43">
        <f>'Raw Data'!C65</f>
        <v>8.8499999999999995E-2</v>
      </c>
      <c r="R65" s="43">
        <f>'Raw Data'!C65/'Raw Data'!I$30*100</f>
        <v>0.8257120008646458</v>
      </c>
      <c r="S65" s="13">
        <f t="shared" si="7"/>
        <v>0.28234501347708896</v>
      </c>
      <c r="T65" s="13">
        <f t="shared" si="8"/>
        <v>0.78225639314663087</v>
      </c>
      <c r="U65" s="53">
        <f t="shared" si="9"/>
        <v>8.1702975074014611E-3</v>
      </c>
      <c r="V65" s="53">
        <f t="shared" si="10"/>
        <v>0.11764328294552891</v>
      </c>
      <c r="W65" s="53">
        <f t="shared" si="11"/>
        <v>2.9028314190958655E-2</v>
      </c>
      <c r="X65" s="95">
        <f t="shared" si="12"/>
        <v>7.7018141153295319E-2</v>
      </c>
      <c r="AS65" s="114"/>
      <c r="AT65" s="114"/>
    </row>
    <row r="66" spans="1:46" x14ac:dyDescent="0.2">
      <c r="A66" s="43">
        <v>111.86637878417969</v>
      </c>
      <c r="B66" s="139">
        <v>0.10145876749032449</v>
      </c>
      <c r="C66" s="139">
        <f t="shared" si="1"/>
        <v>0.89854123250967555</v>
      </c>
      <c r="D66" s="49">
        <f t="shared" si="2"/>
        <v>4.8764513247990471E-2</v>
      </c>
      <c r="E66" s="42">
        <f>(2*Table!$AC$16*0.147)/A66</f>
        <v>0.81932647021703398</v>
      </c>
      <c r="F66" s="42">
        <f t="shared" si="3"/>
        <v>1.638652940434068</v>
      </c>
      <c r="G66" s="43">
        <f>IF((('Raw Data'!C66)/('Raw Data'!C$136)*100)&lt;0,0,('Raw Data'!C66)/('Raw Data'!C$136)*100)</f>
        <v>10.14587674903245</v>
      </c>
      <c r="H66" s="43">
        <f t="shared" si="4"/>
        <v>4.8764513247990475</v>
      </c>
      <c r="I66" s="21">
        <f t="shared" si="5"/>
        <v>4.4108854054028826E-2</v>
      </c>
      <c r="J66" s="42">
        <f>'Raw Data'!F66/I66</f>
        <v>1.1055493118968573</v>
      </c>
      <c r="K66" s="143">
        <f t="shared" si="6"/>
        <v>0.24292899074246141</v>
      </c>
      <c r="L66" s="43">
        <f>A66*Table!$AC$9/$AC$16</f>
        <v>25.118192500906872</v>
      </c>
      <c r="M66" s="43">
        <f>A66*Table!$AD$9/$AC$16</f>
        <v>8.6119517145966409</v>
      </c>
      <c r="N66" s="43">
        <f>ABS(A66*Table!$AE$9/$AC$16)</f>
        <v>10.876496401466568</v>
      </c>
      <c r="O66" s="43">
        <f>($L66*(Table!$AC$10/Table!$AC$9)/(Table!$AC$12-Table!$AC$14))</f>
        <v>53.878576793022042</v>
      </c>
      <c r="P66" s="43">
        <f>ROUND(($N66*(Table!$AE$10/Table!$AE$9)/(Table!$AC$12-Table!$AC$13)),2)</f>
        <v>89.3</v>
      </c>
      <c r="Q66" s="43">
        <f>'Raw Data'!C66</f>
        <v>0.1704</v>
      </c>
      <c r="R66" s="43">
        <f>'Raw Data'!C66/'Raw Data'!I$30*100</f>
        <v>1.5898454796309116</v>
      </c>
      <c r="S66" s="13">
        <f t="shared" si="7"/>
        <v>0.55188679245283023</v>
      </c>
      <c r="T66" s="13">
        <f t="shared" si="8"/>
        <v>0.65133025265547095</v>
      </c>
      <c r="U66" s="53">
        <f t="shared" si="9"/>
        <v>1.4212004508505195E-2</v>
      </c>
      <c r="V66" s="53">
        <f t="shared" si="10"/>
        <v>0.2999943461522398</v>
      </c>
      <c r="W66" s="53">
        <f t="shared" si="11"/>
        <v>4.6309915201298117E-2</v>
      </c>
      <c r="X66" s="95">
        <f t="shared" si="12"/>
        <v>0.12332805635459343</v>
      </c>
      <c r="AS66" s="114"/>
      <c r="AT66" s="114"/>
    </row>
    <row r="67" spans="1:46" x14ac:dyDescent="0.2">
      <c r="A67" s="43">
        <v>121.24658203125</v>
      </c>
      <c r="B67" s="139">
        <v>0.16338195891634413</v>
      </c>
      <c r="C67" s="139">
        <f t="shared" si="1"/>
        <v>0.83661804108365589</v>
      </c>
      <c r="D67" s="49">
        <f t="shared" si="2"/>
        <v>6.1923191426019639E-2</v>
      </c>
      <c r="E67" s="42">
        <f>(2*Table!$AC$16*0.147)/A67</f>
        <v>0.75593953849833495</v>
      </c>
      <c r="F67" s="42">
        <f t="shared" si="3"/>
        <v>1.5118790769966699</v>
      </c>
      <c r="G67" s="43">
        <f>IF((('Raw Data'!C67)/('Raw Data'!C$136)*100)&lt;0,0,('Raw Data'!C67)/('Raw Data'!C$136)*100)</f>
        <v>16.338195891634413</v>
      </c>
      <c r="H67" s="43">
        <f t="shared" si="4"/>
        <v>6.1923191426019635</v>
      </c>
      <c r="I67" s="21">
        <f t="shared" si="5"/>
        <v>3.4969924783067333E-2</v>
      </c>
      <c r="J67" s="42">
        <f>'Raw Data'!F67/I67</f>
        <v>1.770755636740839</v>
      </c>
      <c r="K67" s="143">
        <f t="shared" si="6"/>
        <v>0.26329903697562163</v>
      </c>
      <c r="L67" s="43">
        <f>A67*Table!$AC$9/$AC$16</f>
        <v>27.22439950803728</v>
      </c>
      <c r="M67" s="43">
        <f>A67*Table!$AD$9/$AC$16</f>
        <v>9.3340798313270685</v>
      </c>
      <c r="N67" s="43">
        <f>ABS(A67*Table!$AE$9/$AC$16)</f>
        <v>11.788510788368431</v>
      </c>
      <c r="O67" s="43">
        <f>($L67*(Table!$AC$10/Table!$AC$9)/(Table!$AC$12-Table!$AC$14))</f>
        <v>58.396395341135317</v>
      </c>
      <c r="P67" s="43">
        <f>ROUND(($N67*(Table!$AE$10/Table!$AE$9)/(Table!$AC$12-Table!$AC$13)),2)</f>
        <v>96.79</v>
      </c>
      <c r="Q67" s="43">
        <f>'Raw Data'!C67</f>
        <v>0.27439999999999998</v>
      </c>
      <c r="R67" s="43">
        <f>'Raw Data'!C67/'Raw Data'!I$30*100</f>
        <v>2.5601737066356929</v>
      </c>
      <c r="S67" s="13">
        <f t="shared" si="7"/>
        <v>0.70080862533692723</v>
      </c>
      <c r="T67" s="13">
        <f t="shared" si="8"/>
        <v>0.50980434342566538</v>
      </c>
      <c r="U67" s="53">
        <f t="shared" si="9"/>
        <v>2.1115429925899567E-2</v>
      </c>
      <c r="V67" s="53">
        <f t="shared" si="10"/>
        <v>0.58596459317312621</v>
      </c>
      <c r="W67" s="53">
        <f t="shared" si="11"/>
        <v>5.0059161834541663E-2</v>
      </c>
      <c r="X67" s="95">
        <f t="shared" si="12"/>
        <v>0.17338721818913511</v>
      </c>
      <c r="AS67" s="114"/>
      <c r="AT67" s="114"/>
    </row>
    <row r="68" spans="1:46" x14ac:dyDescent="0.2">
      <c r="A68" s="43">
        <v>132.07147216796875</v>
      </c>
      <c r="B68" s="139">
        <v>0.24036915748734744</v>
      </c>
      <c r="C68" s="139">
        <f t="shared" si="1"/>
        <v>0.75963084251265256</v>
      </c>
      <c r="D68" s="49">
        <f t="shared" si="2"/>
        <v>7.6987198571003307E-2</v>
      </c>
      <c r="E68" s="42">
        <f>(2*Table!$AC$16*0.147)/A68</f>
        <v>0.69398094653352937</v>
      </c>
      <c r="F68" s="42">
        <f t="shared" si="3"/>
        <v>1.3879618930670587</v>
      </c>
      <c r="G68" s="43">
        <f>IF((('Raw Data'!C68)/('Raw Data'!C$136)*100)&lt;0,0,('Raw Data'!C68)/('Raw Data'!C$136)*100)</f>
        <v>24.036915748734742</v>
      </c>
      <c r="H68" s="43">
        <f t="shared" si="4"/>
        <v>7.698719857100329</v>
      </c>
      <c r="I68" s="21">
        <f t="shared" si="5"/>
        <v>3.71395142541881E-2</v>
      </c>
      <c r="J68" s="42">
        <f>'Raw Data'!F68/I68</f>
        <v>2.0729188336738065</v>
      </c>
      <c r="K68" s="143">
        <f t="shared" si="6"/>
        <v>0.28680636477501764</v>
      </c>
      <c r="L68" s="43">
        <f>A68*Table!$AC$9/$AC$16</f>
        <v>29.65499283921001</v>
      </c>
      <c r="M68" s="43">
        <f>A68*Table!$AD$9/$AC$16</f>
        <v>10.167426116300575</v>
      </c>
      <c r="N68" s="43">
        <f>ABS(A68*Table!$AE$9/$AC$16)</f>
        <v>12.840988573900743</v>
      </c>
      <c r="O68" s="43">
        <f>($L68*(Table!$AC$10/Table!$AC$9)/(Table!$AC$12-Table!$AC$14))</f>
        <v>63.610023250128734</v>
      </c>
      <c r="P68" s="43">
        <f>ROUND(($N68*(Table!$AE$10/Table!$AE$9)/(Table!$AC$12-Table!$AC$13)),2)</f>
        <v>105.43</v>
      </c>
      <c r="Q68" s="43">
        <f>'Raw Data'!C68</f>
        <v>0.4037</v>
      </c>
      <c r="R68" s="43">
        <f>'Raw Data'!C68/'Raw Data'!I$30*100</f>
        <v>3.7665529350175997</v>
      </c>
      <c r="S68" s="13">
        <f t="shared" si="7"/>
        <v>0.87129380053908412</v>
      </c>
      <c r="T68" s="13">
        <f t="shared" si="8"/>
        <v>0.36151084503002684</v>
      </c>
      <c r="U68" s="53">
        <f t="shared" si="9"/>
        <v>2.851905012633834E-2</v>
      </c>
      <c r="V68" s="53">
        <f t="shared" si="10"/>
        <v>0.97410612985409262</v>
      </c>
      <c r="W68" s="53">
        <f t="shared" si="11"/>
        <v>5.2452927351582274E-2</v>
      </c>
      <c r="X68" s="95">
        <f t="shared" si="12"/>
        <v>0.22584014554071738</v>
      </c>
      <c r="AS68" s="114"/>
      <c r="AT68" s="114"/>
    </row>
    <row r="69" spans="1:46" x14ac:dyDescent="0.2">
      <c r="A69" s="43">
        <v>145.78900146484375</v>
      </c>
      <c r="B69" s="139">
        <v>0.32872878832986008</v>
      </c>
      <c r="C69" s="139">
        <f t="shared" si="1"/>
        <v>0.67127121167013992</v>
      </c>
      <c r="D69" s="49">
        <f t="shared" si="2"/>
        <v>8.8359630842512638E-2</v>
      </c>
      <c r="E69" s="42">
        <f>(2*Table!$AC$16*0.147)/A69</f>
        <v>0.62868312660270043</v>
      </c>
      <c r="F69" s="42">
        <f t="shared" si="3"/>
        <v>1.2573662532054009</v>
      </c>
      <c r="G69" s="43">
        <f>IF((('Raw Data'!C69)/('Raw Data'!C$136)*100)&lt;0,0,('Raw Data'!C69)/('Raw Data'!C$136)*100)</f>
        <v>32.872878832986011</v>
      </c>
      <c r="H69" s="43">
        <f t="shared" si="4"/>
        <v>8.8359630842512686</v>
      </c>
      <c r="I69" s="21">
        <f t="shared" si="5"/>
        <v>4.2915742567147114E-2</v>
      </c>
      <c r="J69" s="42">
        <f>'Raw Data'!F69/I69</f>
        <v>2.0589095179761321</v>
      </c>
      <c r="K69" s="143">
        <f t="shared" si="6"/>
        <v>0.31659534680686707</v>
      </c>
      <c r="L69" s="43">
        <f>A69*Table!$AC$9/$AC$16</f>
        <v>32.735092018789999</v>
      </c>
      <c r="M69" s="43">
        <f>A69*Table!$AD$9/$AC$16</f>
        <v>11.223460120727999</v>
      </c>
      <c r="N69" s="43">
        <f>ABS(A69*Table!$AE$9/$AC$16)</f>
        <v>14.174710641746682</v>
      </c>
      <c r="O69" s="43">
        <f>($L69*(Table!$AC$10/Table!$AC$9)/(Table!$AC$12-Table!$AC$14))</f>
        <v>70.216842597147149</v>
      </c>
      <c r="P69" s="43">
        <f>ROUND(($N69*(Table!$AE$10/Table!$AE$9)/(Table!$AC$12-Table!$AC$13)),2)</f>
        <v>116.38</v>
      </c>
      <c r="Q69" s="43">
        <f>'Raw Data'!C69</f>
        <v>0.55210000000000004</v>
      </c>
      <c r="R69" s="43">
        <f>'Raw Data'!C69/'Raw Data'!I$30*100</f>
        <v>5.1511366743205764</v>
      </c>
      <c r="S69" s="13">
        <f t="shared" si="7"/>
        <v>1</v>
      </c>
      <c r="T69" s="13">
        <f t="shared" si="8"/>
        <v>0.22183349026834853</v>
      </c>
      <c r="U69" s="53">
        <f t="shared" si="9"/>
        <v>3.5332820875124425E-2</v>
      </c>
      <c r="V69" s="53">
        <f t="shared" si="10"/>
        <v>1.3994017760537387</v>
      </c>
      <c r="W69" s="53">
        <f t="shared" si="11"/>
        <v>4.9405309209368378E-2</v>
      </c>
      <c r="X69" s="95">
        <f t="shared" si="12"/>
        <v>0.27524545475008577</v>
      </c>
      <c r="AS69" s="114"/>
      <c r="AT69" s="114"/>
    </row>
    <row r="70" spans="1:46" x14ac:dyDescent="0.2">
      <c r="A70" s="43">
        <v>159.09428405761719</v>
      </c>
      <c r="B70" s="139">
        <v>0.37826734147067581</v>
      </c>
      <c r="C70" s="139">
        <f t="shared" si="1"/>
        <v>0.62173265852932413</v>
      </c>
      <c r="D70" s="49">
        <f t="shared" si="2"/>
        <v>4.9538553140815733E-2</v>
      </c>
      <c r="E70" s="42">
        <f>(2*Table!$AC$16*0.147)/A70</f>
        <v>0.57610545726463724</v>
      </c>
      <c r="F70" s="42">
        <f t="shared" si="3"/>
        <v>1.1522109145292745</v>
      </c>
      <c r="G70" s="43">
        <f>IF((('Raw Data'!C70)/('Raw Data'!C$136)*100)&lt;0,0,('Raw Data'!C70)/('Raw Data'!C$136)*100)</f>
        <v>37.826734147067583</v>
      </c>
      <c r="H70" s="43">
        <f t="shared" si="4"/>
        <v>4.9538553140815722</v>
      </c>
      <c r="I70" s="21">
        <f t="shared" si="5"/>
        <v>3.7929815178804727E-2</v>
      </c>
      <c r="J70" s="42">
        <f>'Raw Data'!F70/I70</f>
        <v>1.3060583846055227</v>
      </c>
      <c r="K70" s="143">
        <f t="shared" si="6"/>
        <v>0.34548909403400802</v>
      </c>
      <c r="L70" s="43">
        <f>A70*Table!$AC$9/$AC$16</f>
        <v>35.722626370724456</v>
      </c>
      <c r="M70" s="43">
        <f>A70*Table!$AD$9/$AC$16</f>
        <v>12.247757612819813</v>
      </c>
      <c r="N70" s="43">
        <f>ABS(A70*Table!$AE$9/$AC$16)</f>
        <v>15.46835096347364</v>
      </c>
      <c r="O70" s="43">
        <f>($L70*(Table!$AC$10/Table!$AC$9)/(Table!$AC$12-Table!$AC$14))</f>
        <v>76.62511019031416</v>
      </c>
      <c r="P70" s="43">
        <f>ROUND(($N70*(Table!$AE$10/Table!$AE$9)/(Table!$AC$12-Table!$AC$13)),2)</f>
        <v>127</v>
      </c>
      <c r="Q70" s="43">
        <f>'Raw Data'!C70</f>
        <v>0.63529999999999998</v>
      </c>
      <c r="R70" s="43">
        <f>'Raw Data'!C70/'Raw Data'!I$30*100</f>
        <v>5.927399255924402</v>
      </c>
      <c r="S70" s="13">
        <f t="shared" si="7"/>
        <v>0.560646900269542</v>
      </c>
      <c r="T70" s="13">
        <f t="shared" si="8"/>
        <v>0.15607439996021633</v>
      </c>
      <c r="U70" s="53">
        <f t="shared" si="9"/>
        <v>3.7257147804114384E-2</v>
      </c>
      <c r="V70" s="53">
        <f t="shared" si="10"/>
        <v>1.5306938498301241</v>
      </c>
      <c r="W70" s="53">
        <f t="shared" si="11"/>
        <v>2.3259662924912449E-2</v>
      </c>
      <c r="X70" s="95">
        <f t="shared" si="12"/>
        <v>0.29850511767499821</v>
      </c>
      <c r="AS70" s="114"/>
      <c r="AT70" s="114"/>
    </row>
    <row r="71" spans="1:46" x14ac:dyDescent="0.2">
      <c r="A71" s="43">
        <v>173.39022827148437</v>
      </c>
      <c r="B71" s="139">
        <v>0.41113426615064008</v>
      </c>
      <c r="C71" s="139">
        <f t="shared" si="1"/>
        <v>0.58886573384935992</v>
      </c>
      <c r="D71" s="49">
        <f t="shared" si="2"/>
        <v>3.2866924679964271E-2</v>
      </c>
      <c r="E71" s="42">
        <f>(2*Table!$AC$16*0.147)/A71</f>
        <v>0.52860582847665105</v>
      </c>
      <c r="F71" s="42">
        <f t="shared" si="3"/>
        <v>1.0572116569533021</v>
      </c>
      <c r="G71" s="43">
        <f>IF((('Raw Data'!C71)/('Raw Data'!C$136)*100)&lt;0,0,('Raw Data'!C71)/('Raw Data'!C$136)*100)</f>
        <v>41.113426615064007</v>
      </c>
      <c r="H71" s="43">
        <f t="shared" si="4"/>
        <v>3.2866924679964242</v>
      </c>
      <c r="I71" s="21">
        <f t="shared" si="5"/>
        <v>3.7370041770605267E-2</v>
      </c>
      <c r="J71" s="42">
        <f>'Raw Data'!F71/I71</f>
        <v>0.87949927596326416</v>
      </c>
      <c r="K71" s="143">
        <f t="shared" si="6"/>
        <v>0.37653416170608706</v>
      </c>
      <c r="L71" s="43">
        <f>A71*Table!$AC$9/$AC$16</f>
        <v>38.932601366329877</v>
      </c>
      <c r="M71" s="43">
        <f>A71*Table!$AD$9/$AC$16</f>
        <v>13.348320468455958</v>
      </c>
      <c r="N71" s="43">
        <f>ABS(A71*Table!$AE$9/$AC$16)</f>
        <v>16.858310909327209</v>
      </c>
      <c r="O71" s="43">
        <f>($L71*(Table!$AC$10/Table!$AC$9)/(Table!$AC$12-Table!$AC$14))</f>
        <v>83.510513441291039</v>
      </c>
      <c r="P71" s="43">
        <f>ROUND(($N71*(Table!$AE$10/Table!$AE$9)/(Table!$AC$12-Table!$AC$13)),2)</f>
        <v>138.41</v>
      </c>
      <c r="Q71" s="43">
        <f>'Raw Data'!C71</f>
        <v>0.6905</v>
      </c>
      <c r="R71" s="43">
        <f>'Raw Data'!C71/'Raw Data'!I$30*100</f>
        <v>6.4424196225654011</v>
      </c>
      <c r="S71" s="13">
        <f t="shared" si="7"/>
        <v>0.37196765498652296</v>
      </c>
      <c r="T71" s="13">
        <f t="shared" si="8"/>
        <v>0.11934350885934586</v>
      </c>
      <c r="U71" s="53">
        <f t="shared" si="9"/>
        <v>3.7155609556486849E-2</v>
      </c>
      <c r="V71" s="53">
        <f t="shared" si="10"/>
        <v>1.5236462252236709</v>
      </c>
      <c r="W71" s="53">
        <f t="shared" si="11"/>
        <v>1.2992091921202547E-2</v>
      </c>
      <c r="X71" s="95">
        <f t="shared" si="12"/>
        <v>0.31149720959620075</v>
      </c>
      <c r="AS71" s="114"/>
      <c r="AT71" s="114"/>
    </row>
    <row r="72" spans="1:46" x14ac:dyDescent="0.2">
      <c r="A72" s="43">
        <v>190.35183715820312</v>
      </c>
      <c r="B72" s="139">
        <v>0.43858291158082763</v>
      </c>
      <c r="C72" s="139">
        <f t="shared" si="1"/>
        <v>0.56141708841917237</v>
      </c>
      <c r="D72" s="49">
        <f t="shared" si="2"/>
        <v>2.7448645430187546E-2</v>
      </c>
      <c r="E72" s="42">
        <f>(2*Table!$AC$16*0.147)/A72</f>
        <v>0.48150354960340241</v>
      </c>
      <c r="F72" s="42">
        <f t="shared" si="3"/>
        <v>0.96300709920680483</v>
      </c>
      <c r="G72" s="43">
        <f>IF((('Raw Data'!C72)/('Raw Data'!C$136)*100)&lt;0,0,('Raw Data'!C72)/('Raw Data'!C$136)*100)</f>
        <v>43.858291158082764</v>
      </c>
      <c r="H72" s="43">
        <f t="shared" si="4"/>
        <v>2.7448645430187568</v>
      </c>
      <c r="I72" s="21">
        <f t="shared" si="5"/>
        <v>4.0532454355056313E-2</v>
      </c>
      <c r="J72" s="42">
        <f>'Raw Data'!F72/I72</f>
        <v>0.67720166140798732</v>
      </c>
      <c r="K72" s="143">
        <f t="shared" si="6"/>
        <v>0.41336798588992368</v>
      </c>
      <c r="L72" s="43">
        <f>A72*Table!$AC$9/$AC$16</f>
        <v>42.741117935581208</v>
      </c>
      <c r="M72" s="43">
        <f>A72*Table!$AD$9/$AC$16</f>
        <v>14.654097577913557</v>
      </c>
      <c r="N72" s="43">
        <f>ABS(A72*Table!$AE$9/$AC$16)</f>
        <v>18.507446959180015</v>
      </c>
      <c r="O72" s="43">
        <f>($L72*(Table!$AC$10/Table!$AC$9)/(Table!$AC$12-Table!$AC$14))</f>
        <v>91.679789651611358</v>
      </c>
      <c r="P72" s="43">
        <f>ROUND(($N72*(Table!$AE$10/Table!$AE$9)/(Table!$AC$12-Table!$AC$13)),2)</f>
        <v>151.94999999999999</v>
      </c>
      <c r="Q72" s="43">
        <f>'Raw Data'!C72</f>
        <v>0.73660000000000003</v>
      </c>
      <c r="R72" s="43">
        <f>'Raw Data'!C72/'Raw Data'!I$30*100</f>
        <v>6.8725362693434819</v>
      </c>
      <c r="S72" s="13">
        <f t="shared" si="7"/>
        <v>0.31064690026954173</v>
      </c>
      <c r="T72" s="13">
        <f t="shared" si="8"/>
        <v>9.3891128568720505E-2</v>
      </c>
      <c r="U72" s="53">
        <f t="shared" si="9"/>
        <v>3.6104386340288668E-2</v>
      </c>
      <c r="V72" s="53">
        <f t="shared" si="10"/>
        <v>1.4514657796484629</v>
      </c>
      <c r="W72" s="53">
        <f t="shared" si="11"/>
        <v>9.0027672740390589E-3</v>
      </c>
      <c r="X72" s="95">
        <f t="shared" si="12"/>
        <v>0.32049997687023979</v>
      </c>
      <c r="AS72" s="114"/>
      <c r="AT72" s="114"/>
    </row>
    <row r="73" spans="1:46" x14ac:dyDescent="0.2">
      <c r="A73" s="43">
        <v>207.28080749511719</v>
      </c>
      <c r="B73" s="139">
        <v>0.46400714498362605</v>
      </c>
      <c r="C73" s="139">
        <f t="shared" si="1"/>
        <v>0.53599285501637395</v>
      </c>
      <c r="D73" s="49">
        <f t="shared" si="2"/>
        <v>2.5424233402798424E-2</v>
      </c>
      <c r="E73" s="42">
        <f>(2*Table!$AC$16*0.147)/A73</f>
        <v>0.44217834913327764</v>
      </c>
      <c r="F73" s="42">
        <f t="shared" si="3"/>
        <v>0.88435669826655527</v>
      </c>
      <c r="G73" s="43">
        <f>IF((('Raw Data'!C73)/('Raw Data'!C$136)*100)&lt;0,0,('Raw Data'!C73)/('Raw Data'!C$136)*100)</f>
        <v>46.400714498362603</v>
      </c>
      <c r="H73" s="43">
        <f t="shared" si="4"/>
        <v>2.5424233402798393</v>
      </c>
      <c r="I73" s="21">
        <f t="shared" si="5"/>
        <v>3.7002019131447961E-2</v>
      </c>
      <c r="J73" s="42">
        <f>'Raw Data'!F73/I73</f>
        <v>0.6871039472867686</v>
      </c>
      <c r="K73" s="143">
        <f t="shared" si="6"/>
        <v>0.4501309322099239</v>
      </c>
      <c r="L73" s="43">
        <f>A73*Table!$AC$9/$AC$16</f>
        <v>46.542305927776106</v>
      </c>
      <c r="M73" s="43">
        <f>A73*Table!$AD$9/$AC$16</f>
        <v>15.957362032380379</v>
      </c>
      <c r="N73" s="43">
        <f>ABS(A73*Table!$AE$9/$AC$16)</f>
        <v>20.153409642080589</v>
      </c>
      <c r="O73" s="43">
        <f>($L73*(Table!$AC$10/Table!$AC$9)/(Table!$AC$12-Table!$AC$14))</f>
        <v>99.83334604842581</v>
      </c>
      <c r="P73" s="43">
        <f>ROUND(($N73*(Table!$AE$10/Table!$AE$9)/(Table!$AC$12-Table!$AC$13)),2)</f>
        <v>165.46</v>
      </c>
      <c r="Q73" s="43">
        <f>'Raw Data'!C73</f>
        <v>0.77929999999999999</v>
      </c>
      <c r="R73" s="43">
        <f>'Raw Data'!C73/'Raw Data'!I$30*100</f>
        <v>7.2709306471617916</v>
      </c>
      <c r="S73" s="13">
        <f t="shared" si="7"/>
        <v>0.28773584905660349</v>
      </c>
      <c r="T73" s="13">
        <f t="shared" si="8"/>
        <v>7.4009529348851411E-2</v>
      </c>
      <c r="U73" s="53">
        <f t="shared" si="9"/>
        <v>3.5077683915975044E-2</v>
      </c>
      <c r="V73" s="53">
        <f t="shared" si="10"/>
        <v>1.382356837818405</v>
      </c>
      <c r="W73" s="53">
        <f t="shared" si="11"/>
        <v>7.0323250229811706E-3</v>
      </c>
      <c r="X73" s="95">
        <f t="shared" si="12"/>
        <v>0.32753230189322097</v>
      </c>
      <c r="AS73" s="114"/>
      <c r="AT73" s="114"/>
    </row>
    <row r="74" spans="1:46" x14ac:dyDescent="0.2">
      <c r="A74" s="43">
        <v>227.23202514648437</v>
      </c>
      <c r="B74" s="139">
        <v>0.48788329860077406</v>
      </c>
      <c r="C74" s="139">
        <f t="shared" si="1"/>
        <v>0.51211670139922594</v>
      </c>
      <c r="D74" s="49">
        <f t="shared" si="2"/>
        <v>2.387615361714801E-2</v>
      </c>
      <c r="E74" s="42">
        <f>(2*Table!$AC$16*0.147)/A74</f>
        <v>0.4033546116843279</v>
      </c>
      <c r="F74" s="42">
        <f t="shared" si="3"/>
        <v>0.8067092233686558</v>
      </c>
      <c r="G74" s="43">
        <f>IF((('Raw Data'!C74)/('Raw Data'!C$136)*100)&lt;0,0,('Raw Data'!C74)/('Raw Data'!C$136)*100)</f>
        <v>48.788329860077404</v>
      </c>
      <c r="H74" s="43">
        <f t="shared" si="4"/>
        <v>2.3876153617148006</v>
      </c>
      <c r="I74" s="21">
        <f t="shared" si="5"/>
        <v>3.9910447185773079E-2</v>
      </c>
      <c r="J74" s="42">
        <f>'Raw Data'!F74/I74</f>
        <v>0.59824319948134208</v>
      </c>
      <c r="K74" s="143">
        <f t="shared" si="6"/>
        <v>0.49345698978688768</v>
      </c>
      <c r="L74" s="43">
        <f>A74*Table!$AC$9/$AC$16</f>
        <v>51.022101654080636</v>
      </c>
      <c r="M74" s="43">
        <f>A74*Table!$AD$9/$AC$16</f>
        <v>17.493291995684789</v>
      </c>
      <c r="N74" s="43">
        <f>ABS(A74*Table!$AE$9/$AC$16)</f>
        <v>22.093218093452929</v>
      </c>
      <c r="O74" s="43">
        <f>($L74*(Table!$AC$10/Table!$AC$9)/(Table!$AC$12-Table!$AC$14))</f>
        <v>109.44251749052047</v>
      </c>
      <c r="P74" s="43">
        <f>ROUND(($N74*(Table!$AE$10/Table!$AE$9)/(Table!$AC$12-Table!$AC$13)),2)</f>
        <v>181.39</v>
      </c>
      <c r="Q74" s="43">
        <f>'Raw Data'!C74</f>
        <v>0.81940000000000002</v>
      </c>
      <c r="R74" s="43">
        <f>'Raw Data'!C74/'Raw Data'!I$30*100</f>
        <v>7.6450668193049811</v>
      </c>
      <c r="S74" s="13">
        <f t="shared" si="7"/>
        <v>0.27021563342318122</v>
      </c>
      <c r="T74" s="13">
        <f t="shared" si="8"/>
        <v>5.8473253696005201E-2</v>
      </c>
      <c r="U74" s="53">
        <f t="shared" si="9"/>
        <v>3.3644319344408494E-2</v>
      </c>
      <c r="V74" s="53">
        <f t="shared" si="10"/>
        <v>1.288192181984978</v>
      </c>
      <c r="W74" s="53">
        <f t="shared" si="11"/>
        <v>5.4953396268171452E-3</v>
      </c>
      <c r="X74" s="95">
        <f t="shared" si="12"/>
        <v>0.33302764152003811</v>
      </c>
      <c r="AS74" s="114"/>
      <c r="AT74" s="114"/>
    </row>
    <row r="75" spans="1:46" x14ac:dyDescent="0.2">
      <c r="A75" s="43">
        <v>249.40620422363281</v>
      </c>
      <c r="B75" s="139">
        <v>0.50979458172075021</v>
      </c>
      <c r="C75" s="139">
        <f t="shared" si="1"/>
        <v>0.49020541827924979</v>
      </c>
      <c r="D75" s="49">
        <f t="shared" si="2"/>
        <v>2.1911283119976144E-2</v>
      </c>
      <c r="E75" s="42">
        <f>(2*Table!$AC$16*0.147)/A75</f>
        <v>0.36749320471202113</v>
      </c>
      <c r="F75" s="42">
        <f t="shared" si="3"/>
        <v>0.73498640942404225</v>
      </c>
      <c r="G75" s="43">
        <f>IF((('Raw Data'!C75)/('Raw Data'!C$136)*100)&lt;0,0,('Raw Data'!C75)/('Raw Data'!C$136)*100)</f>
        <v>50.97945817207502</v>
      </c>
      <c r="H75" s="43">
        <f t="shared" si="4"/>
        <v>2.1911283119976162</v>
      </c>
      <c r="I75" s="21">
        <f t="shared" si="5"/>
        <v>4.0437713747974557E-2</v>
      </c>
      <c r="J75" s="42">
        <f>'Raw Data'!F75/I75</f>
        <v>0.54185266893516293</v>
      </c>
      <c r="K75" s="143">
        <f t="shared" si="6"/>
        <v>0.54161042965237904</v>
      </c>
      <c r="L75" s="43">
        <f>A75*Table!$AC$9/$AC$16</f>
        <v>56.001035491600767</v>
      </c>
      <c r="M75" s="43">
        <f>A75*Table!$AD$9/$AC$16</f>
        <v>19.200355025691689</v>
      </c>
      <c r="N75" s="43">
        <f>ABS(A75*Table!$AE$9/$AC$16)</f>
        <v>24.249159686980118</v>
      </c>
      <c r="O75" s="43">
        <f>($L75*(Table!$AC$10/Table!$AC$9)/(Table!$AC$12-Table!$AC$14))</f>
        <v>120.12234125182492</v>
      </c>
      <c r="P75" s="43">
        <f>ROUND(($N75*(Table!$AE$10/Table!$AE$9)/(Table!$AC$12-Table!$AC$13)),2)</f>
        <v>199.09</v>
      </c>
      <c r="Q75" s="43">
        <f>'Raw Data'!C75</f>
        <v>0.85619999999999996</v>
      </c>
      <c r="R75" s="43">
        <f>'Raw Data'!C75/'Raw Data'!I$30*100</f>
        <v>7.9884137303989817</v>
      </c>
      <c r="S75" s="13">
        <f t="shared" si="7"/>
        <v>0.24797843665768154</v>
      </c>
      <c r="T75" s="13">
        <f t="shared" si="8"/>
        <v>4.6638071809692039E-2</v>
      </c>
      <c r="U75" s="53">
        <f t="shared" si="9"/>
        <v>3.2029731398486312E-2</v>
      </c>
      <c r="V75" s="53">
        <f t="shared" si="10"/>
        <v>1.1853961718355008</v>
      </c>
      <c r="W75" s="53">
        <f t="shared" si="11"/>
        <v>4.1862249012382191E-3</v>
      </c>
      <c r="X75" s="95">
        <f t="shared" si="12"/>
        <v>0.33721386642127632</v>
      </c>
      <c r="AS75" s="114"/>
      <c r="AT75" s="114"/>
    </row>
    <row r="76" spans="1:46" x14ac:dyDescent="0.2">
      <c r="A76" s="43">
        <v>272.391845703125</v>
      </c>
      <c r="B76" s="139">
        <v>0.52986007740398933</v>
      </c>
      <c r="C76" s="139">
        <f t="shared" si="1"/>
        <v>0.47013992259601067</v>
      </c>
      <c r="D76" s="49">
        <f t="shared" si="2"/>
        <v>2.0065495683239121E-2</v>
      </c>
      <c r="E76" s="42">
        <f>(2*Table!$AC$16*0.147)/A76</f>
        <v>0.33648248547460879</v>
      </c>
      <c r="F76" s="42">
        <f t="shared" si="3"/>
        <v>0.67296497094921759</v>
      </c>
      <c r="G76" s="43">
        <f>IF((('Raw Data'!C76)/('Raw Data'!C$136)*100)&lt;0,0,('Raw Data'!C76)/('Raw Data'!C$136)*100)</f>
        <v>52.986007740398932</v>
      </c>
      <c r="H76" s="43">
        <f t="shared" si="4"/>
        <v>2.0065495683239121</v>
      </c>
      <c r="I76" s="21">
        <f t="shared" si="5"/>
        <v>3.8286849658712541E-2</v>
      </c>
      <c r="J76" s="42">
        <f>'Raw Data'!F76/I76</f>
        <v>0.52408322601891133</v>
      </c>
      <c r="K76" s="143">
        <f t="shared" si="6"/>
        <v>0.59152604099932271</v>
      </c>
      <c r="L76" s="43">
        <f>A76*Table!$AC$9/$AC$16</f>
        <v>61.162173035460953</v>
      </c>
      <c r="M76" s="43">
        <f>A76*Table!$AD$9/$AC$16</f>
        <v>20.969887897872326</v>
      </c>
      <c r="N76" s="43">
        <f>ABS(A76*Table!$AE$9/$AC$16)</f>
        <v>26.483997799684388</v>
      </c>
      <c r="O76" s="43">
        <f>($L76*(Table!$AC$10/Table!$AC$9)/(Table!$AC$12-Table!$AC$14))</f>
        <v>131.19299235405612</v>
      </c>
      <c r="P76" s="43">
        <f>ROUND(($N76*(Table!$AE$10/Table!$AE$9)/(Table!$AC$12-Table!$AC$13)),2)</f>
        <v>217.44</v>
      </c>
      <c r="Q76" s="43">
        <f>'Raw Data'!C76</f>
        <v>0.88990000000000002</v>
      </c>
      <c r="R76" s="43">
        <f>'Raw Data'!C76/'Raw Data'!I$30*100</f>
        <v>8.3028373962649535</v>
      </c>
      <c r="S76" s="13">
        <f t="shared" si="7"/>
        <v>0.22708894878706273</v>
      </c>
      <c r="T76" s="13">
        <f t="shared" si="8"/>
        <v>3.7551850311753787E-2</v>
      </c>
      <c r="U76" s="53">
        <f t="shared" si="9"/>
        <v>3.0481225951653736E-2</v>
      </c>
      <c r="V76" s="53">
        <f t="shared" si="10"/>
        <v>1.0901135434866545</v>
      </c>
      <c r="W76" s="53">
        <f t="shared" si="11"/>
        <v>3.2138894913666207E-3</v>
      </c>
      <c r="X76" s="95">
        <f t="shared" si="12"/>
        <v>0.34042775591264296</v>
      </c>
      <c r="AS76" s="114"/>
      <c r="AT76" s="114"/>
    </row>
    <row r="77" spans="1:46" x14ac:dyDescent="0.2">
      <c r="A77" s="43">
        <v>298.2232666015625</v>
      </c>
      <c r="B77" s="139">
        <v>0.54938969931527237</v>
      </c>
      <c r="C77" s="139">
        <f t="shared" si="1"/>
        <v>0.45061030068472763</v>
      </c>
      <c r="D77" s="49">
        <f t="shared" si="2"/>
        <v>1.9529621911283046E-2</v>
      </c>
      <c r="E77" s="42">
        <f>(2*Table!$AC$16*0.147)/A77</f>
        <v>0.30733713807668228</v>
      </c>
      <c r="F77" s="42">
        <f t="shared" si="3"/>
        <v>0.61467427615336456</v>
      </c>
      <c r="G77" s="43">
        <f>IF((('Raw Data'!C77)/('Raw Data'!C$136)*100)&lt;0,0,('Raw Data'!C77)/('Raw Data'!C$136)*100)</f>
        <v>54.93896993152724</v>
      </c>
      <c r="H77" s="43">
        <f t="shared" si="4"/>
        <v>1.9529621911283073</v>
      </c>
      <c r="I77" s="21">
        <f t="shared" si="5"/>
        <v>3.9347420525437882E-2</v>
      </c>
      <c r="J77" s="42">
        <f>'Raw Data'!F77/I77</f>
        <v>0.49633804835204526</v>
      </c>
      <c r="K77" s="143">
        <f t="shared" si="6"/>
        <v>0.64762154598038324</v>
      </c>
      <c r="L77" s="43">
        <f>A77*Table!$AC$9/$AC$16</f>
        <v>66.962294660481874</v>
      </c>
      <c r="M77" s="43">
        <f>A77*Table!$AD$9/$AC$16</f>
        <v>22.958501026450929</v>
      </c>
      <c r="N77" s="43">
        <f>ABS(A77*Table!$AE$9/$AC$16)</f>
        <v>28.995524135838185</v>
      </c>
      <c r="O77" s="43">
        <f>($L77*(Table!$AC$10/Table!$AC$9)/(Table!$AC$12-Table!$AC$14))</f>
        <v>143.63426568099931</v>
      </c>
      <c r="P77" s="43">
        <f>ROUND(($N77*(Table!$AE$10/Table!$AE$9)/(Table!$AC$12-Table!$AC$13)),2)</f>
        <v>238.06</v>
      </c>
      <c r="Q77" s="43">
        <f>'Raw Data'!C77</f>
        <v>0.92269999999999996</v>
      </c>
      <c r="R77" s="43">
        <f>'Raw Data'!C77/'Raw Data'!I$30*100</f>
        <v>8.6088639909356921</v>
      </c>
      <c r="S77" s="13">
        <f t="shared" si="7"/>
        <v>0.22102425876010701</v>
      </c>
      <c r="T77" s="13">
        <f t="shared" si="8"/>
        <v>3.0173956141503644E-2</v>
      </c>
      <c r="U77" s="53">
        <f t="shared" si="9"/>
        <v>2.8867177564778867E-2</v>
      </c>
      <c r="V77" s="53">
        <f t="shared" si="10"/>
        <v>0.99429809402511204</v>
      </c>
      <c r="W77" s="53">
        <f t="shared" si="11"/>
        <v>2.6096366402208748E-3</v>
      </c>
      <c r="X77" s="95">
        <f t="shared" si="12"/>
        <v>0.34303739255286381</v>
      </c>
      <c r="AS77" s="114"/>
      <c r="AT77" s="114"/>
    </row>
    <row r="78" spans="1:46" x14ac:dyDescent="0.2">
      <c r="A78" s="43">
        <v>326.37591552734375</v>
      </c>
      <c r="B78" s="139">
        <v>0.56743078297112237</v>
      </c>
      <c r="C78" s="139">
        <f t="shared" si="1"/>
        <v>0.43256921702887763</v>
      </c>
      <c r="D78" s="49">
        <f t="shared" si="2"/>
        <v>1.8041083655849999E-2</v>
      </c>
      <c r="E78" s="42">
        <f>(2*Table!$AC$16*0.147)/A78</f>
        <v>0.28082674273655089</v>
      </c>
      <c r="F78" s="42">
        <f t="shared" si="3"/>
        <v>0.56165348547310179</v>
      </c>
      <c r="G78" s="43">
        <f>IF((('Raw Data'!C78)/('Raw Data'!C$136)*100)&lt;0,0,('Raw Data'!C78)/('Raw Data'!C$136)*100)</f>
        <v>56.743078297112234</v>
      </c>
      <c r="H78" s="43">
        <f t="shared" si="4"/>
        <v>1.8041083655849945</v>
      </c>
      <c r="I78" s="21">
        <f t="shared" si="5"/>
        <v>3.9176580124122062E-2</v>
      </c>
      <c r="J78" s="42">
        <f>'Raw Data'!F78/I78</f>
        <v>0.46050685380630313</v>
      </c>
      <c r="K78" s="143">
        <f t="shared" si="6"/>
        <v>0.70875782896904882</v>
      </c>
      <c r="L78" s="43">
        <f>A78*Table!$AC$9/$AC$16</f>
        <v>73.28361892979153</v>
      </c>
      <c r="M78" s="43">
        <f>A78*Table!$AD$9/$AC$16</f>
        <v>25.125812204499955</v>
      </c>
      <c r="N78" s="43">
        <f>ABS(A78*Table!$AE$9/$AC$16)</f>
        <v>31.732737837228825</v>
      </c>
      <c r="O78" s="43">
        <f>($L78*(Table!$AC$10/Table!$AC$9)/(Table!$AC$12-Table!$AC$14))</f>
        <v>157.19351979792265</v>
      </c>
      <c r="P78" s="43">
        <f>ROUND(($N78*(Table!$AE$10/Table!$AE$9)/(Table!$AC$12-Table!$AC$13)),2)</f>
        <v>260.52999999999997</v>
      </c>
      <c r="Q78" s="43">
        <f>'Raw Data'!C78</f>
        <v>0.95299999999999996</v>
      </c>
      <c r="R78" s="43">
        <f>'Raw Data'!C78/'Raw Data'!I$30*100</f>
        <v>8.8915653878418937</v>
      </c>
      <c r="S78" s="13">
        <f t="shared" si="7"/>
        <v>0.20417789757412452</v>
      </c>
      <c r="T78" s="13">
        <f t="shared" si="8"/>
        <v>2.4483487349720945E-2</v>
      </c>
      <c r="U78" s="53">
        <f t="shared" si="9"/>
        <v>2.7243325762795017E-2</v>
      </c>
      <c r="V78" s="53">
        <f t="shared" si="10"/>
        <v>0.90156649694889379</v>
      </c>
      <c r="W78" s="53">
        <f t="shared" si="11"/>
        <v>2.0127770223310653E-3</v>
      </c>
      <c r="X78" s="95">
        <f t="shared" si="12"/>
        <v>0.34505016957519485</v>
      </c>
      <c r="AS78" s="114"/>
      <c r="AT78" s="114"/>
    </row>
    <row r="79" spans="1:46" x14ac:dyDescent="0.2">
      <c r="A79" s="43">
        <v>356.75851440429687</v>
      </c>
      <c r="B79" s="139">
        <v>0.58517415897588565</v>
      </c>
      <c r="C79" s="139">
        <f t="shared" si="1"/>
        <v>0.41482584102411435</v>
      </c>
      <c r="D79" s="49">
        <f t="shared" si="2"/>
        <v>1.7743376004763278E-2</v>
      </c>
      <c r="E79" s="42">
        <f>(2*Table!$AC$16*0.147)/A79</f>
        <v>0.25691071569306806</v>
      </c>
      <c r="F79" s="42">
        <f t="shared" si="3"/>
        <v>0.51382143138613612</v>
      </c>
      <c r="G79" s="43">
        <f>IF((('Raw Data'!C79)/('Raw Data'!C$136)*100)&lt;0,0,('Raw Data'!C79)/('Raw Data'!C$136)*100)</f>
        <v>58.517415897588563</v>
      </c>
      <c r="H79" s="43">
        <f t="shared" si="4"/>
        <v>1.7743376004763292</v>
      </c>
      <c r="I79" s="21">
        <f t="shared" si="5"/>
        <v>3.8656243703465765E-2</v>
      </c>
      <c r="J79" s="42">
        <f>'Raw Data'!F79/I79</f>
        <v>0.45900414279446605</v>
      </c>
      <c r="K79" s="143">
        <f t="shared" si="6"/>
        <v>0.77473667052564232</v>
      </c>
      <c r="L79" s="43">
        <f>A79*Table!$AC$9/$AC$16</f>
        <v>80.105650496053983</v>
      </c>
      <c r="M79" s="43">
        <f>A79*Table!$AD$9/$AC$16</f>
        <v>27.464794455789935</v>
      </c>
      <c r="N79" s="43">
        <f>ABS(A79*Table!$AE$9/$AC$16)</f>
        <v>34.686764158130131</v>
      </c>
      <c r="O79" s="43">
        <f>($L79*(Table!$AC$10/Table!$AC$9)/(Table!$AC$12-Table!$AC$14))</f>
        <v>171.82679214082793</v>
      </c>
      <c r="P79" s="43">
        <f>ROUND(($N79*(Table!$AE$10/Table!$AE$9)/(Table!$AC$12-Table!$AC$13)),2)</f>
        <v>284.77999999999997</v>
      </c>
      <c r="Q79" s="43">
        <f>'Raw Data'!C79</f>
        <v>0.98280000000000001</v>
      </c>
      <c r="R79" s="43">
        <f>'Raw Data'!C79/'Raw Data'!I$30*100</f>
        <v>9.1696017451951874</v>
      </c>
      <c r="S79" s="13">
        <f t="shared" si="7"/>
        <v>0.20080862533692675</v>
      </c>
      <c r="T79" s="13">
        <f t="shared" si="8"/>
        <v>1.979957031333579E-2</v>
      </c>
      <c r="U79" s="53">
        <f t="shared" si="9"/>
        <v>2.5702544928763015E-2</v>
      </c>
      <c r="V79" s="53">
        <f t="shared" si="10"/>
        <v>0.81703850909053821</v>
      </c>
      <c r="W79" s="53">
        <f t="shared" si="11"/>
        <v>1.6567493699209434E-3</v>
      </c>
      <c r="X79" s="95">
        <f t="shared" si="12"/>
        <v>0.34670691894511579</v>
      </c>
      <c r="AS79" s="114"/>
      <c r="AT79" s="114"/>
    </row>
    <row r="80" spans="1:46" x14ac:dyDescent="0.2">
      <c r="A80" s="43">
        <v>390.95266723632812</v>
      </c>
      <c r="B80" s="139">
        <v>0.60238166120869308</v>
      </c>
      <c r="C80" s="139">
        <f t="shared" si="1"/>
        <v>0.39761833879130692</v>
      </c>
      <c r="D80" s="49">
        <f t="shared" si="2"/>
        <v>1.7207502232807426E-2</v>
      </c>
      <c r="E80" s="42">
        <f>(2*Table!$AC$16*0.147)/A80</f>
        <v>0.23444036310871053</v>
      </c>
      <c r="F80" s="42">
        <f t="shared" si="3"/>
        <v>0.46888072621742105</v>
      </c>
      <c r="G80" s="43">
        <f>IF((('Raw Data'!C80)/('Raw Data'!C$136)*100)&lt;0,0,('Raw Data'!C80)/('Raw Data'!C$136)*100)</f>
        <v>60.238166120869309</v>
      </c>
      <c r="H80" s="43">
        <f t="shared" si="4"/>
        <v>1.7207502232807457</v>
      </c>
      <c r="I80" s="21">
        <f t="shared" si="5"/>
        <v>3.9749833618327512E-2</v>
      </c>
      <c r="J80" s="42">
        <f>'Raw Data'!F80/I80</f>
        <v>0.43289494990171579</v>
      </c>
      <c r="K80" s="143">
        <f t="shared" si="6"/>
        <v>0.84899268137591577</v>
      </c>
      <c r="L80" s="43">
        <f>A80*Table!$AC$9/$AC$16</f>
        <v>87.783518704315469</v>
      </c>
      <c r="M80" s="43">
        <f>A80*Table!$AD$9/$AC$16</f>
        <v>30.097206412908161</v>
      </c>
      <c r="N80" s="43">
        <f>ABS(A80*Table!$AE$9/$AC$16)</f>
        <v>38.011378615761814</v>
      </c>
      <c r="O80" s="43">
        <f>($L80*(Table!$AC$10/Table!$AC$9)/(Table!$AC$12-Table!$AC$14))</f>
        <v>188.29583591659264</v>
      </c>
      <c r="P80" s="43">
        <f>ROUND(($N80*(Table!$AE$10/Table!$AE$9)/(Table!$AC$12-Table!$AC$13)),2)</f>
        <v>312.08</v>
      </c>
      <c r="Q80" s="43">
        <f>'Raw Data'!C80</f>
        <v>1.0117</v>
      </c>
      <c r="R80" s="43">
        <f>'Raw Data'!C80/'Raw Data'!I$30*100</f>
        <v>9.4392410313532462</v>
      </c>
      <c r="S80" s="13">
        <f t="shared" si="7"/>
        <v>0.19474393530997355</v>
      </c>
      <c r="T80" s="13">
        <f t="shared" si="8"/>
        <v>1.6016964327341121E-2</v>
      </c>
      <c r="U80" s="53">
        <f t="shared" si="9"/>
        <v>2.4144204202723323E-2</v>
      </c>
      <c r="V80" s="53">
        <f t="shared" si="10"/>
        <v>0.73503750957757452</v>
      </c>
      <c r="W80" s="53">
        <f t="shared" si="11"/>
        <v>1.3379464314322161E-3</v>
      </c>
      <c r="X80" s="95">
        <f t="shared" si="12"/>
        <v>0.348044865376548</v>
      </c>
      <c r="AS80" s="114"/>
      <c r="AT80" s="114"/>
    </row>
    <row r="81" spans="1:46" x14ac:dyDescent="0.2">
      <c r="A81" s="43">
        <v>428.77883911132812</v>
      </c>
      <c r="B81" s="139">
        <v>0.61917237272997916</v>
      </c>
      <c r="C81" s="139">
        <f t="shared" si="1"/>
        <v>0.38082762727002084</v>
      </c>
      <c r="D81" s="49">
        <f t="shared" si="2"/>
        <v>1.6790711521286084E-2</v>
      </c>
      <c r="E81" s="42">
        <f>(2*Table!$AC$16*0.147)/A81</f>
        <v>0.21375841553926667</v>
      </c>
      <c r="F81" s="42">
        <f t="shared" si="3"/>
        <v>0.42751683107853333</v>
      </c>
      <c r="G81" s="43">
        <f>IF((('Raw Data'!C81)/('Raw Data'!C$136)*100)&lt;0,0,('Raw Data'!C81)/('Raw Data'!C$136)*100)</f>
        <v>61.917237272997916</v>
      </c>
      <c r="H81" s="43">
        <f t="shared" si="4"/>
        <v>1.679071152128607</v>
      </c>
      <c r="I81" s="21">
        <f t="shared" si="5"/>
        <v>4.0109163711920304E-2</v>
      </c>
      <c r="J81" s="42">
        <f>'Raw Data'!F81/I81</f>
        <v>0.41862532068440866</v>
      </c>
      <c r="K81" s="143">
        <f t="shared" si="6"/>
        <v>0.93113598356479621</v>
      </c>
      <c r="L81" s="43">
        <f>A81*Table!$AC$9/$AC$16</f>
        <v>96.276911241510987</v>
      </c>
      <c r="M81" s="43">
        <f>A81*Table!$AD$9/$AC$16</f>
        <v>33.009226711375199</v>
      </c>
      <c r="N81" s="43">
        <f>ABS(A81*Table!$AE$9/$AC$16)</f>
        <v>41.689125466524061</v>
      </c>
      <c r="O81" s="43">
        <f>($L81*(Table!$AC$10/Table!$AC$9)/(Table!$AC$12-Table!$AC$14))</f>
        <v>206.51418112722223</v>
      </c>
      <c r="P81" s="43">
        <f>ROUND(($N81*(Table!$AE$10/Table!$AE$9)/(Table!$AC$12-Table!$AC$13)),2)</f>
        <v>342.28</v>
      </c>
      <c r="Q81" s="43">
        <f>'Raw Data'!C81</f>
        <v>1.0399</v>
      </c>
      <c r="R81" s="43">
        <f>'Raw Data'!C81/'Raw Data'!I$30*100</f>
        <v>9.7023492621372363</v>
      </c>
      <c r="S81" s="13">
        <f t="shared" si="7"/>
        <v>0.19002695417789744</v>
      </c>
      <c r="T81" s="13">
        <f t="shared" si="8"/>
        <v>1.2948479051666961E-2</v>
      </c>
      <c r="U81" s="53">
        <f t="shared" si="9"/>
        <v>2.2627864010840607E-2</v>
      </c>
      <c r="V81" s="53">
        <f t="shared" si="10"/>
        <v>0.65868102966634423</v>
      </c>
      <c r="W81" s="53">
        <f t="shared" si="11"/>
        <v>1.0853546310906244E-3</v>
      </c>
      <c r="X81" s="95">
        <f t="shared" si="12"/>
        <v>0.3491302200076386</v>
      </c>
      <c r="AS81" s="114"/>
      <c r="AT81" s="114"/>
    </row>
    <row r="82" spans="1:46" x14ac:dyDescent="0.2">
      <c r="A82" s="43">
        <v>468.39871215820313</v>
      </c>
      <c r="B82" s="139">
        <v>0.63483179517713606</v>
      </c>
      <c r="C82" s="139">
        <f t="shared" si="1"/>
        <v>0.36516820482286394</v>
      </c>
      <c r="D82" s="49">
        <f t="shared" si="2"/>
        <v>1.5659422447156901E-2</v>
      </c>
      <c r="E82" s="42">
        <f>(2*Table!$AC$16*0.147)/A82</f>
        <v>0.19567749203000978</v>
      </c>
      <c r="F82" s="42">
        <f t="shared" si="3"/>
        <v>0.39135498406001956</v>
      </c>
      <c r="G82" s="43">
        <f>IF((('Raw Data'!C82)/('Raw Data'!C$136)*100)&lt;0,0,('Raw Data'!C82)/('Raw Data'!C$136)*100)</f>
        <v>63.483179517713609</v>
      </c>
      <c r="H82" s="43">
        <f t="shared" si="4"/>
        <v>1.5659422447156928</v>
      </c>
      <c r="I82" s="21">
        <f t="shared" si="5"/>
        <v>3.8382348208730321E-2</v>
      </c>
      <c r="J82" s="42">
        <f>'Raw Data'!F82/I82</f>
        <v>0.40798500294974294</v>
      </c>
      <c r="K82" s="143">
        <f t="shared" si="6"/>
        <v>1.0171744866184316</v>
      </c>
      <c r="L82" s="43">
        <f>A82*Table!$AC$9/$AC$16</f>
        <v>105.17305688302557</v>
      </c>
      <c r="M82" s="43">
        <f>A82*Table!$AD$9/$AC$16</f>
        <v>36.059333788465906</v>
      </c>
      <c r="N82" s="43">
        <f>ABS(A82*Table!$AE$9/$AC$16)</f>
        <v>45.541269527182976</v>
      </c>
      <c r="O82" s="43">
        <f>($L82*(Table!$AC$10/Table!$AC$9)/(Table!$AC$12-Table!$AC$14))</f>
        <v>225.5964326105225</v>
      </c>
      <c r="P82" s="43">
        <f>ROUND(($N82*(Table!$AE$10/Table!$AE$9)/(Table!$AC$12-Table!$AC$13)),2)</f>
        <v>373.9</v>
      </c>
      <c r="Q82" s="43">
        <f>'Raw Data'!C82</f>
        <v>1.0662</v>
      </c>
      <c r="R82" s="43">
        <f>'Raw Data'!C82/'Raw Data'!I$30*100</f>
        <v>9.9477303426201757</v>
      </c>
      <c r="S82" s="13">
        <f t="shared" si="7"/>
        <v>0.17722371967654998</v>
      </c>
      <c r="T82" s="13">
        <f t="shared" si="8"/>
        <v>1.0550386239384313E-2</v>
      </c>
      <c r="U82" s="53">
        <f t="shared" si="9"/>
        <v>2.1237740592378696E-2</v>
      </c>
      <c r="V82" s="53">
        <f t="shared" si="10"/>
        <v>0.59171564333280102</v>
      </c>
      <c r="W82" s="53">
        <f t="shared" si="11"/>
        <v>8.4822995900620381E-4</v>
      </c>
      <c r="X82" s="95">
        <f t="shared" si="12"/>
        <v>0.34997844996664479</v>
      </c>
      <c r="AS82" s="114"/>
      <c r="AT82" s="114"/>
    </row>
    <row r="83" spans="1:46" x14ac:dyDescent="0.2">
      <c r="A83" s="43">
        <v>512.6256103515625</v>
      </c>
      <c r="B83" s="139">
        <v>0.65025305150342372</v>
      </c>
      <c r="C83" s="139">
        <f t="shared" si="1"/>
        <v>0.34974694849657628</v>
      </c>
      <c r="D83" s="49">
        <f t="shared" si="2"/>
        <v>1.5421256326287658E-2</v>
      </c>
      <c r="E83" s="42">
        <f>(2*Table!$AC$16*0.147)/A83</f>
        <v>0.17879536920199107</v>
      </c>
      <c r="F83" s="42">
        <f t="shared" si="3"/>
        <v>0.35759073840398214</v>
      </c>
      <c r="G83" s="43">
        <f>IF((('Raw Data'!C83)/('Raw Data'!C$136)*100)&lt;0,0,('Raw Data'!C83)/('Raw Data'!C$136)*100)</f>
        <v>65.025305150342376</v>
      </c>
      <c r="H83" s="43">
        <f t="shared" si="4"/>
        <v>1.5421256326287676</v>
      </c>
      <c r="I83" s="21">
        <f t="shared" si="5"/>
        <v>3.9184607055127274E-2</v>
      </c>
      <c r="J83" s="42">
        <f>'Raw Data'!F83/I83</f>
        <v>0.39355393572256836</v>
      </c>
      <c r="K83" s="143">
        <f t="shared" si="6"/>
        <v>1.1132176039388775</v>
      </c>
      <c r="L83" s="43">
        <f>A83*Table!$AC$9/$AC$16</f>
        <v>115.10365224700024</v>
      </c>
      <c r="M83" s="43">
        <f>A83*Table!$AD$9/$AC$16</f>
        <v>39.464109341828653</v>
      </c>
      <c r="N83" s="43">
        <f>ABS(A83*Table!$AE$9/$AC$16)</f>
        <v>49.841343457136006</v>
      </c>
      <c r="O83" s="43">
        <f>($L83*(Table!$AC$10/Table!$AC$9)/(Table!$AC$12-Table!$AC$14))</f>
        <v>246.89758096739652</v>
      </c>
      <c r="P83" s="43">
        <f>ROUND(($N83*(Table!$AE$10/Table!$AE$9)/(Table!$AC$12-Table!$AC$13)),2)</f>
        <v>409.21</v>
      </c>
      <c r="Q83" s="43">
        <f>'Raw Data'!C83</f>
        <v>1.0921000000000001</v>
      </c>
      <c r="R83" s="43">
        <f>'Raw Data'!C83/'Raw Data'!I$30*100</f>
        <v>10.18937939146079</v>
      </c>
      <c r="S83" s="13">
        <f t="shared" si="7"/>
        <v>0.1745283018867933</v>
      </c>
      <c r="T83" s="13">
        <f t="shared" si="8"/>
        <v>8.5786864553525355E-3</v>
      </c>
      <c r="U83" s="53">
        <f t="shared" si="9"/>
        <v>1.9876844203068272E-2</v>
      </c>
      <c r="V83" s="53">
        <f t="shared" si="10"/>
        <v>0.52902769228468316</v>
      </c>
      <c r="W83" s="53">
        <f t="shared" si="11"/>
        <v>6.9741038312430949E-4</v>
      </c>
      <c r="X83" s="95">
        <f t="shared" si="12"/>
        <v>0.35067586034976911</v>
      </c>
      <c r="AS83" s="114"/>
      <c r="AT83" s="114"/>
    </row>
    <row r="84" spans="1:46" x14ac:dyDescent="0.2">
      <c r="A84" s="43">
        <v>561.51080322265625</v>
      </c>
      <c r="B84" s="139">
        <v>0.66573384935992863</v>
      </c>
      <c r="C84" s="139">
        <f t="shared" si="1"/>
        <v>0.33426615064007137</v>
      </c>
      <c r="D84" s="49">
        <f t="shared" si="2"/>
        <v>1.5480797856504913E-2</v>
      </c>
      <c r="E84" s="42">
        <f>(2*Table!$AC$16*0.147)/A84</f>
        <v>0.16322942450825756</v>
      </c>
      <c r="F84" s="42">
        <f t="shared" si="3"/>
        <v>0.32645884901651512</v>
      </c>
      <c r="G84" s="43">
        <f>IF((('Raw Data'!C84)/('Raw Data'!C$136)*100)&lt;0,0,('Raw Data'!C84)/('Raw Data'!C$136)*100)</f>
        <v>66.573384935992863</v>
      </c>
      <c r="H84" s="43">
        <f t="shared" si="4"/>
        <v>1.5480797856504864</v>
      </c>
      <c r="I84" s="21">
        <f t="shared" si="5"/>
        <v>3.9557816930654632E-2</v>
      </c>
      <c r="J84" s="42">
        <f>'Raw Data'!F84/I84</f>
        <v>0.39134611203755132</v>
      </c>
      <c r="K84" s="143">
        <f t="shared" si="6"/>
        <v>1.2193766724230433</v>
      </c>
      <c r="L84" s="43">
        <f>A84*Table!$AC$9/$AC$16</f>
        <v>126.08020926373409</v>
      </c>
      <c r="M84" s="43">
        <f>A84*Table!$AD$9/$AC$16</f>
        <v>43.227500318994544</v>
      </c>
      <c r="N84" s="43">
        <f>ABS(A84*Table!$AE$9/$AC$16)</f>
        <v>54.594332068425928</v>
      </c>
      <c r="O84" s="43">
        <f>($L84*(Table!$AC$10/Table!$AC$9)/(Table!$AC$12-Table!$AC$14))</f>
        <v>270.44231931302897</v>
      </c>
      <c r="P84" s="43">
        <f>ROUND(($N84*(Table!$AE$10/Table!$AE$9)/(Table!$AC$12-Table!$AC$13)),2)</f>
        <v>448.23</v>
      </c>
      <c r="Q84" s="43">
        <f>'Raw Data'!C84</f>
        <v>1.1181000000000001</v>
      </c>
      <c r="R84" s="43">
        <f>'Raw Data'!C84/'Raw Data'!I$30*100</f>
        <v>10.431961448211984</v>
      </c>
      <c r="S84" s="13">
        <f t="shared" si="7"/>
        <v>0.17520215633423183</v>
      </c>
      <c r="T84" s="13">
        <f t="shared" si="8"/>
        <v>6.9290101412115002E-3</v>
      </c>
      <c r="U84" s="53">
        <f t="shared" si="9"/>
        <v>1.8578380662206764E-2</v>
      </c>
      <c r="V84" s="53">
        <f t="shared" si="10"/>
        <v>0.47191652160261005</v>
      </c>
      <c r="W84" s="53">
        <f t="shared" si="11"/>
        <v>5.8350738768339031E-4</v>
      </c>
      <c r="X84" s="95">
        <f t="shared" si="12"/>
        <v>0.35125936773745248</v>
      </c>
      <c r="AS84" s="114"/>
      <c r="AT84" s="114"/>
    </row>
    <row r="85" spans="1:46" x14ac:dyDescent="0.2">
      <c r="A85" s="43">
        <v>612.99505615234375</v>
      </c>
      <c r="B85" s="139">
        <v>0.6803215242631736</v>
      </c>
      <c r="C85" s="139">
        <f t="shared" si="1"/>
        <v>0.3196784757368264</v>
      </c>
      <c r="D85" s="49">
        <f t="shared" si="2"/>
        <v>1.4587674903244974E-2</v>
      </c>
      <c r="E85" s="42">
        <f>(2*Table!$AC$16*0.147)/A85</f>
        <v>0.1495201051710035</v>
      </c>
      <c r="F85" s="42">
        <f t="shared" si="3"/>
        <v>0.29904021034200701</v>
      </c>
      <c r="G85" s="43">
        <f>IF((('Raw Data'!C85)/('Raw Data'!C$136)*100)&lt;0,0,('Raw Data'!C85)/('Raw Data'!C$136)*100)</f>
        <v>68.032152426317367</v>
      </c>
      <c r="H85" s="43">
        <f t="shared" si="4"/>
        <v>1.4587674903245045</v>
      </c>
      <c r="I85" s="21">
        <f t="shared" si="5"/>
        <v>3.8098855603369119E-2</v>
      </c>
      <c r="J85" s="42">
        <f>'Raw Data'!F85/I85</f>
        <v>0.3828901071231906</v>
      </c>
      <c r="K85" s="143">
        <f t="shared" si="6"/>
        <v>1.3311798588609274</v>
      </c>
      <c r="L85" s="43">
        <f>A85*Table!$AC$9/$AC$16</f>
        <v>137.64035262323429</v>
      </c>
      <c r="M85" s="43">
        <f>A85*Table!$AD$9/$AC$16</f>
        <v>47.190978042251757</v>
      </c>
      <c r="N85" s="43">
        <f>ABS(A85*Table!$AE$9/$AC$16)</f>
        <v>59.600020978784507</v>
      </c>
      <c r="O85" s="43">
        <f>($L85*(Table!$AC$10/Table!$AC$9)/(Table!$AC$12-Table!$AC$14))</f>
        <v>295.23885161568921</v>
      </c>
      <c r="P85" s="43">
        <f>ROUND(($N85*(Table!$AE$10/Table!$AE$9)/(Table!$AC$12-Table!$AC$13)),2)</f>
        <v>489.33</v>
      </c>
      <c r="Q85" s="43">
        <f>'Raw Data'!C85</f>
        <v>1.1426000000000001</v>
      </c>
      <c r="R85" s="43">
        <f>'Raw Data'!C85/'Raw Data'!I$30*100</f>
        <v>10.660548386304457</v>
      </c>
      <c r="S85" s="13">
        <f t="shared" si="7"/>
        <v>0.16509433962264108</v>
      </c>
      <c r="T85" s="13">
        <f t="shared" si="8"/>
        <v>5.6246612778134697E-3</v>
      </c>
      <c r="U85" s="53">
        <f t="shared" si="9"/>
        <v>1.7390920659652202E-2</v>
      </c>
      <c r="V85" s="53">
        <f t="shared" si="10"/>
        <v>0.42204461946022404</v>
      </c>
      <c r="W85" s="53">
        <f t="shared" si="11"/>
        <v>4.613615358267548E-4</v>
      </c>
      <c r="X85" s="95">
        <f t="shared" si="12"/>
        <v>0.35172072927327924</v>
      </c>
      <c r="AS85" s="114"/>
      <c r="AT85" s="114"/>
    </row>
    <row r="86" spans="1:46" x14ac:dyDescent="0.2">
      <c r="A86" s="43">
        <v>671.7947998046875</v>
      </c>
      <c r="B86" s="139">
        <v>0.69473057457576659</v>
      </c>
      <c r="C86" s="139">
        <f t="shared" si="1"/>
        <v>0.30526942542423341</v>
      </c>
      <c r="D86" s="49">
        <f t="shared" si="2"/>
        <v>1.4409050312592986E-2</v>
      </c>
      <c r="E86" s="42">
        <f>(2*Table!$AC$16*0.147)/A86</f>
        <v>0.13643315680897014</v>
      </c>
      <c r="F86" s="42">
        <f t="shared" si="3"/>
        <v>0.27286631361794028</v>
      </c>
      <c r="G86" s="43">
        <f>IF((('Raw Data'!C86)/('Raw Data'!C$136)*100)&lt;0,0,('Raw Data'!C86)/('Raw Data'!C$136)*100)</f>
        <v>69.473057457576658</v>
      </c>
      <c r="H86" s="43">
        <f t="shared" si="4"/>
        <v>1.440905031259291</v>
      </c>
      <c r="I86" s="21">
        <f t="shared" si="5"/>
        <v>3.9779665836417233E-2</v>
      </c>
      <c r="J86" s="42">
        <f>'Raw Data'!F86/I86</f>
        <v>0.36222150210728721</v>
      </c>
      <c r="K86" s="143">
        <f t="shared" si="6"/>
        <v>1.4588693625047102</v>
      </c>
      <c r="L86" s="43">
        <f>A86*Table!$AC$9/$AC$16</f>
        <v>150.84309768493839</v>
      </c>
      <c r="M86" s="43">
        <f>A86*Table!$AD$9/$AC$16</f>
        <v>51.717633491978873</v>
      </c>
      <c r="N86" s="43">
        <f>ABS(A86*Table!$AE$9/$AC$16)</f>
        <v>65.31697729034714</v>
      </c>
      <c r="O86" s="43">
        <f>($L86*(Table!$AC$10/Table!$AC$9)/(Table!$AC$12-Table!$AC$14))</f>
        <v>323.55876809296097</v>
      </c>
      <c r="P86" s="43">
        <f>ROUND(($N86*(Table!$AE$10/Table!$AE$9)/(Table!$AC$12-Table!$AC$13)),2)</f>
        <v>536.26</v>
      </c>
      <c r="Q86" s="43">
        <f>'Raw Data'!C86</f>
        <v>1.1668000000000001</v>
      </c>
      <c r="R86" s="43">
        <f>'Raw Data'!C86/'Raw Data'!I$30*100</f>
        <v>10.886336300665185</v>
      </c>
      <c r="S86" s="13">
        <f t="shared" si="7"/>
        <v>0.16307277628032293</v>
      </c>
      <c r="T86" s="13">
        <f t="shared" si="8"/>
        <v>4.5519478573120553E-3</v>
      </c>
      <c r="U86" s="53">
        <f t="shared" si="9"/>
        <v>1.6204853481792649E-2</v>
      </c>
      <c r="V86" s="53">
        <f t="shared" si="10"/>
        <v>0.37452669175973924</v>
      </c>
      <c r="W86" s="53">
        <f t="shared" si="11"/>
        <v>3.7942971015838585E-4</v>
      </c>
      <c r="X86" s="95">
        <f t="shared" si="12"/>
        <v>0.35210015898343761</v>
      </c>
      <c r="AS86" s="114"/>
      <c r="AT86" s="114"/>
    </row>
    <row r="87" spans="1:46" x14ac:dyDescent="0.2">
      <c r="A87" s="43">
        <v>735.12127685546875</v>
      </c>
      <c r="B87" s="139">
        <v>0.70860375111640361</v>
      </c>
      <c r="C87" s="139">
        <f t="shared" si="1"/>
        <v>0.29139624888359639</v>
      </c>
      <c r="D87" s="49">
        <f t="shared" si="2"/>
        <v>1.3873176540637022E-2</v>
      </c>
      <c r="E87" s="42">
        <f>(2*Table!$AC$16*0.147)/A87</f>
        <v>0.12468022372752494</v>
      </c>
      <c r="F87" s="42">
        <f t="shared" si="3"/>
        <v>0.24936044745504987</v>
      </c>
      <c r="G87" s="43">
        <f>IF((('Raw Data'!C87)/('Raw Data'!C$136)*100)&lt;0,0,('Raw Data'!C87)/('Raw Data'!C$136)*100)</f>
        <v>70.860375111640366</v>
      </c>
      <c r="H87" s="43">
        <f t="shared" si="4"/>
        <v>1.3873176540637076</v>
      </c>
      <c r="I87" s="21">
        <f t="shared" si="5"/>
        <v>3.91223551048685E-2</v>
      </c>
      <c r="J87" s="42">
        <f>'Raw Data'!F87/I87</f>
        <v>0.35460995391125122</v>
      </c>
      <c r="K87" s="143">
        <f t="shared" si="6"/>
        <v>1.5963891188821064</v>
      </c>
      <c r="L87" s="43">
        <f>A87*Table!$AC$9/$AC$16</f>
        <v>165.06226396397355</v>
      </c>
      <c r="M87" s="43">
        <f>A87*Table!$AD$9/$AC$16</f>
        <v>56.592776216219505</v>
      </c>
      <c r="N87" s="43">
        <f>ABS(A87*Table!$AE$9/$AC$16)</f>
        <v>71.474056899486897</v>
      </c>
      <c r="O87" s="43">
        <f>($L87*(Table!$AC$10/Table!$AC$9)/(Table!$AC$12-Table!$AC$14))</f>
        <v>354.05891026163357</v>
      </c>
      <c r="P87" s="43">
        <f>ROUND(($N87*(Table!$AE$10/Table!$AE$9)/(Table!$AC$12-Table!$AC$13)),2)</f>
        <v>586.80999999999995</v>
      </c>
      <c r="Q87" s="43">
        <f>'Raw Data'!C87</f>
        <v>1.1900999999999999</v>
      </c>
      <c r="R87" s="43">
        <f>'Raw Data'!C87/'Raw Data'!I$30*100</f>
        <v>11.103727143830678</v>
      </c>
      <c r="S87" s="13">
        <f t="shared" si="7"/>
        <v>0.15700808625336848</v>
      </c>
      <c r="T87" s="13">
        <f t="shared" si="8"/>
        <v>3.6894072329081151E-3</v>
      </c>
      <c r="U87" s="53">
        <f t="shared" si="9"/>
        <v>1.5104619459972136E-2</v>
      </c>
      <c r="V87" s="53">
        <f t="shared" si="10"/>
        <v>0.33254279884134419</v>
      </c>
      <c r="W87" s="53">
        <f t="shared" si="11"/>
        <v>3.0508944221510474E-4</v>
      </c>
      <c r="X87" s="95">
        <f t="shared" si="12"/>
        <v>0.35240524842565268</v>
      </c>
      <c r="AS87" s="114"/>
      <c r="AT87" s="114"/>
    </row>
    <row r="88" spans="1:46" x14ac:dyDescent="0.2">
      <c r="A88" s="43">
        <v>805.29315185546875</v>
      </c>
      <c r="B88" s="139">
        <v>0.7222387615361715</v>
      </c>
      <c r="C88" s="139">
        <f t="shared" si="1"/>
        <v>0.2777612384638285</v>
      </c>
      <c r="D88" s="49">
        <f t="shared" si="2"/>
        <v>1.363501041976789E-2</v>
      </c>
      <c r="E88" s="42">
        <f>(2*Table!$AC$16*0.147)/A88</f>
        <v>0.11381580118249109</v>
      </c>
      <c r="F88" s="42">
        <f t="shared" si="3"/>
        <v>0.22763160236498217</v>
      </c>
      <c r="G88" s="43">
        <f>IF((('Raw Data'!C88)/('Raw Data'!C$136)*100)&lt;0,0,('Raw Data'!C88)/('Raw Data'!C$136)*100)</f>
        <v>72.223876153617155</v>
      </c>
      <c r="H88" s="43">
        <f t="shared" si="4"/>
        <v>1.3635010419767895</v>
      </c>
      <c r="I88" s="21">
        <f t="shared" si="5"/>
        <v>3.959501304606361E-2</v>
      </c>
      <c r="J88" s="42">
        <f>'Raw Data'!F88/I88</f>
        <v>0.34436181152170203</v>
      </c>
      <c r="K88" s="143">
        <f t="shared" si="6"/>
        <v>1.7487743391558763</v>
      </c>
      <c r="L88" s="43">
        <f>A88*Table!$AC$9/$AC$16</f>
        <v>180.81847850811363</v>
      </c>
      <c r="M88" s="43">
        <f>A88*Table!$AD$9/$AC$16</f>
        <v>61.994906917067532</v>
      </c>
      <c r="N88" s="43">
        <f>ABS(A88*Table!$AE$9/$AC$16)</f>
        <v>78.296697930838477</v>
      </c>
      <c r="O88" s="43">
        <f>($L88*(Table!$AC$10/Table!$AC$9)/(Table!$AC$12-Table!$AC$14))</f>
        <v>387.85602425592811</v>
      </c>
      <c r="P88" s="43">
        <f>ROUND(($N88*(Table!$AE$10/Table!$AE$9)/(Table!$AC$12-Table!$AC$13)),2)</f>
        <v>642.83000000000004</v>
      </c>
      <c r="Q88" s="43">
        <f>'Raw Data'!C88</f>
        <v>1.2130000000000001</v>
      </c>
      <c r="R88" s="43">
        <f>'Raw Data'!C88/'Raw Data'!I$30*100</f>
        <v>11.317385955353847</v>
      </c>
      <c r="S88" s="13">
        <f t="shared" si="7"/>
        <v>0.15431266846361305</v>
      </c>
      <c r="T88" s="13">
        <f t="shared" si="8"/>
        <v>2.982977298107703E-3</v>
      </c>
      <c r="U88" s="53">
        <f t="shared" si="9"/>
        <v>1.4053746675080447E-2</v>
      </c>
      <c r="V88" s="53">
        <f t="shared" si="10"/>
        <v>0.29436716968146853</v>
      </c>
      <c r="W88" s="53">
        <f t="shared" si="11"/>
        <v>2.4987149436725474E-4</v>
      </c>
      <c r="X88" s="95">
        <f t="shared" si="12"/>
        <v>0.35265511992001997</v>
      </c>
      <c r="AS88" s="114"/>
      <c r="AT88" s="114"/>
    </row>
    <row r="89" spans="1:46" x14ac:dyDescent="0.2">
      <c r="A89" s="43">
        <v>882.249267578125</v>
      </c>
      <c r="B89" s="139">
        <v>0.73539743971420068</v>
      </c>
      <c r="C89" s="139">
        <f t="shared" si="1"/>
        <v>0.26460256028579932</v>
      </c>
      <c r="D89" s="49">
        <f t="shared" si="2"/>
        <v>1.3158678178029182E-2</v>
      </c>
      <c r="E89" s="42">
        <f>(2*Table!$AC$16*0.147)/A89</f>
        <v>0.10388796979883851</v>
      </c>
      <c r="F89" s="42">
        <f t="shared" si="3"/>
        <v>0.20777593959767701</v>
      </c>
      <c r="G89" s="43">
        <f>IF((('Raw Data'!C89)/('Raw Data'!C$136)*100)&lt;0,0,('Raw Data'!C89)/('Raw Data'!C$136)*100)</f>
        <v>73.539743971420066</v>
      </c>
      <c r="H89" s="43">
        <f t="shared" si="4"/>
        <v>1.3158678178029106</v>
      </c>
      <c r="I89" s="21">
        <f t="shared" si="5"/>
        <v>3.9637300586683133E-2</v>
      </c>
      <c r="J89" s="42">
        <f>'Raw Data'!F89/I89</f>
        <v>0.33197715241108211</v>
      </c>
      <c r="K89" s="143">
        <f t="shared" si="6"/>
        <v>1.9158922143132759</v>
      </c>
      <c r="L89" s="43">
        <f>A89*Table!$AC$9/$AC$16</f>
        <v>198.09800922907331</v>
      </c>
      <c r="M89" s="43">
        <f>A89*Table!$AD$9/$AC$16</f>
        <v>67.919317449967991</v>
      </c>
      <c r="N89" s="43">
        <f>ABS(A89*Table!$AE$9/$AC$16)</f>
        <v>85.778954215750844</v>
      </c>
      <c r="O89" s="43">
        <f>($L89*(Table!$AC$10/Table!$AC$9)/(Table!$AC$12-Table!$AC$14))</f>
        <v>424.92065471701699</v>
      </c>
      <c r="P89" s="43">
        <f>ROUND(($N89*(Table!$AE$10/Table!$AE$9)/(Table!$AC$12-Table!$AC$13)),2)</f>
        <v>704.26</v>
      </c>
      <c r="Q89" s="43">
        <f>'Raw Data'!C89</f>
        <v>1.2351000000000001</v>
      </c>
      <c r="R89" s="43">
        <f>'Raw Data'!C89/'Raw Data'!I$30*100</f>
        <v>11.523580703592366</v>
      </c>
      <c r="S89" s="13">
        <f t="shared" si="7"/>
        <v>0.14892183288409713</v>
      </c>
      <c r="T89" s="13">
        <f t="shared" si="8"/>
        <v>2.4149734417852065E-3</v>
      </c>
      <c r="U89" s="53">
        <f t="shared" si="9"/>
        <v>1.306159282537679E-2</v>
      </c>
      <c r="V89" s="53">
        <f t="shared" si="10"/>
        <v>0.26008923090390856</v>
      </c>
      <c r="W89" s="53">
        <f t="shared" si="11"/>
        <v>2.0090877437940448E-4</v>
      </c>
      <c r="X89" s="95">
        <f t="shared" si="12"/>
        <v>0.35285602869439936</v>
      </c>
      <c r="AS89" s="114"/>
      <c r="AT89" s="114"/>
    </row>
    <row r="90" spans="1:46" x14ac:dyDescent="0.2">
      <c r="A90" s="43">
        <v>963.4791259765625</v>
      </c>
      <c r="B90" s="139">
        <v>0.74813932718070852</v>
      </c>
      <c r="C90" s="139">
        <f t="shared" si="1"/>
        <v>0.25186067281929148</v>
      </c>
      <c r="D90" s="49">
        <f t="shared" si="2"/>
        <v>1.274188746650784E-2</v>
      </c>
      <c r="E90" s="42">
        <f>(2*Table!$AC$16*0.147)/A90</f>
        <v>9.5129290084311827E-2</v>
      </c>
      <c r="F90" s="42">
        <f t="shared" si="3"/>
        <v>0.19025858016862365</v>
      </c>
      <c r="G90" s="43">
        <f>IF((('Raw Data'!C90)/('Raw Data'!C$136)*100)&lt;0,0,('Raw Data'!C90)/('Raw Data'!C$136)*100)</f>
        <v>74.813932718070859</v>
      </c>
      <c r="H90" s="43">
        <f t="shared" si="4"/>
        <v>1.2741887466507933</v>
      </c>
      <c r="I90" s="21">
        <f t="shared" si="5"/>
        <v>3.8251003500134551E-2</v>
      </c>
      <c r="J90" s="42">
        <f>'Raw Data'!F90/I90</f>
        <v>0.3331125016488265</v>
      </c>
      <c r="K90" s="143">
        <f t="shared" si="6"/>
        <v>2.092290947635608</v>
      </c>
      <c r="L90" s="43">
        <f>A90*Table!$AC$9/$AC$16</f>
        <v>216.33715527320993</v>
      </c>
      <c r="M90" s="43">
        <f>A90*Table!$AD$9/$AC$16</f>
        <v>74.172738950814832</v>
      </c>
      <c r="N90" s="43">
        <f>ABS(A90*Table!$AE$9/$AC$16)</f>
        <v>93.676736124529228</v>
      </c>
      <c r="O90" s="43">
        <f>($L90*(Table!$AC$10/Table!$AC$9)/(Table!$AC$12-Table!$AC$14))</f>
        <v>464.04366210469749</v>
      </c>
      <c r="P90" s="43">
        <f>ROUND(($N90*(Table!$AE$10/Table!$AE$9)/(Table!$AC$12-Table!$AC$13)),2)</f>
        <v>769.1</v>
      </c>
      <c r="Q90" s="43">
        <f>'Raw Data'!C90</f>
        <v>1.2565</v>
      </c>
      <c r="R90" s="43">
        <f>'Raw Data'!C90/'Raw Data'!I$30*100</f>
        <v>11.723244396456808</v>
      </c>
      <c r="S90" s="13">
        <f t="shared" si="7"/>
        <v>0.14420485175202102</v>
      </c>
      <c r="T90" s="13">
        <f t="shared" si="8"/>
        <v>1.9537931105291229E-3</v>
      </c>
      <c r="U90" s="53">
        <f t="shared" si="9"/>
        <v>1.2167616381490746E-2</v>
      </c>
      <c r="V90" s="53">
        <f t="shared" si="10"/>
        <v>0.23070415232593108</v>
      </c>
      <c r="W90" s="53">
        <f t="shared" si="11"/>
        <v>1.6312420081167914E-4</v>
      </c>
      <c r="X90" s="95">
        <f t="shared" si="12"/>
        <v>0.35301915289521102</v>
      </c>
      <c r="AS90" s="114"/>
      <c r="AT90" s="114"/>
    </row>
    <row r="91" spans="1:46" x14ac:dyDescent="0.2">
      <c r="A91" s="43">
        <v>1049.4617919921875</v>
      </c>
      <c r="B91" s="139">
        <v>0.76004763322417379</v>
      </c>
      <c r="C91" s="139">
        <f t="shared" si="1"/>
        <v>0.23995236677582621</v>
      </c>
      <c r="D91" s="49">
        <f t="shared" si="2"/>
        <v>1.1908306043465267E-2</v>
      </c>
      <c r="E91" s="42">
        <f>(2*Table!$AC$16*0.147)/A91</f>
        <v>8.7335323653103467E-2</v>
      </c>
      <c r="F91" s="42">
        <f t="shared" si="3"/>
        <v>0.17467064730620693</v>
      </c>
      <c r="G91" s="43">
        <f>IF((('Raw Data'!C91)/('Raw Data'!C$136)*100)&lt;0,0,('Raw Data'!C91)/('Raw Data'!C$136)*100)</f>
        <v>76.004763322417375</v>
      </c>
      <c r="H91" s="43">
        <f t="shared" si="4"/>
        <v>1.190830604346516</v>
      </c>
      <c r="I91" s="21">
        <f t="shared" si="5"/>
        <v>3.7124321751026423E-2</v>
      </c>
      <c r="J91" s="42">
        <f>'Raw Data'!F91/I91</f>
        <v>0.3207683125722296</v>
      </c>
      <c r="K91" s="143">
        <f t="shared" si="6"/>
        <v>2.2790108763893566</v>
      </c>
      <c r="L91" s="43">
        <f>A91*Table!$AC$9/$AC$16</f>
        <v>235.64348466542484</v>
      </c>
      <c r="M91" s="43">
        <f>A91*Table!$AD$9/$AC$16</f>
        <v>80.792051885288515</v>
      </c>
      <c r="N91" s="43">
        <f>ABS(A91*Table!$AE$9/$AC$16)</f>
        <v>102.03662197827336</v>
      </c>
      <c r="O91" s="43">
        <f>($L91*(Table!$AC$10/Table!$AC$9)/(Table!$AC$12-Table!$AC$14))</f>
        <v>505.45578006311638</v>
      </c>
      <c r="P91" s="43">
        <f>ROUND(($N91*(Table!$AE$10/Table!$AE$9)/(Table!$AC$12-Table!$AC$13)),2)</f>
        <v>837.74</v>
      </c>
      <c r="Q91" s="43">
        <f>'Raw Data'!C91</f>
        <v>1.2765</v>
      </c>
      <c r="R91" s="43">
        <f>'Raw Data'!C91/'Raw Data'!I$30*100</f>
        <v>11.909845978573113</v>
      </c>
      <c r="S91" s="13">
        <f t="shared" si="7"/>
        <v>0.13477088948787008</v>
      </c>
      <c r="T91" s="13">
        <f t="shared" si="8"/>
        <v>1.5905157313549356E-3</v>
      </c>
      <c r="U91" s="53">
        <f t="shared" si="9"/>
        <v>1.1348527473272484E-2</v>
      </c>
      <c r="V91" s="53">
        <f t="shared" si="10"/>
        <v>0.20505747851534289</v>
      </c>
      <c r="W91" s="53">
        <f t="shared" si="11"/>
        <v>1.2849492516159541E-4</v>
      </c>
      <c r="X91" s="95">
        <f t="shared" si="12"/>
        <v>0.35314764782037261</v>
      </c>
      <c r="AS91" s="114"/>
      <c r="AT91" s="114"/>
    </row>
    <row r="92" spans="1:46" x14ac:dyDescent="0.2">
      <c r="A92" s="43">
        <v>1147.81640625</v>
      </c>
      <c r="B92" s="139">
        <v>0.77219410538850841</v>
      </c>
      <c r="C92" s="139">
        <f t="shared" si="1"/>
        <v>0.22780589461149159</v>
      </c>
      <c r="D92" s="49">
        <f t="shared" si="2"/>
        <v>1.2146472164334621E-2</v>
      </c>
      <c r="E92" s="42">
        <f>(2*Table!$AC$16*0.147)/A92</f>
        <v>7.9851694718885827E-2</v>
      </c>
      <c r="F92" s="42">
        <f t="shared" si="3"/>
        <v>0.15970338943777165</v>
      </c>
      <c r="G92" s="43">
        <f>IF((('Raw Data'!C92)/('Raw Data'!C$136)*100)&lt;0,0,('Raw Data'!C92)/('Raw Data'!C$136)*100)</f>
        <v>77.219410538850838</v>
      </c>
      <c r="H92" s="43">
        <f t="shared" si="4"/>
        <v>1.2146472164334625</v>
      </c>
      <c r="I92" s="21">
        <f t="shared" si="5"/>
        <v>3.8905796276734073E-2</v>
      </c>
      <c r="J92" s="42">
        <f>'Raw Data'!F92/I92</f>
        <v>0.31220212222203747</v>
      </c>
      <c r="K92" s="143">
        <f t="shared" si="6"/>
        <v>2.4925977238067647</v>
      </c>
      <c r="L92" s="43">
        <f>A92*Table!$AC$9/$AC$16</f>
        <v>257.72777988558579</v>
      </c>
      <c r="M92" s="43">
        <f>A92*Table!$AD$9/$AC$16</f>
        <v>88.363810246486551</v>
      </c>
      <c r="N92" s="43">
        <f>ABS(A92*Table!$AE$9/$AC$16)</f>
        <v>111.59940232094068</v>
      </c>
      <c r="O92" s="43">
        <f>($L92*(Table!$AC$10/Table!$AC$9)/(Table!$AC$12-Table!$AC$14))</f>
        <v>552.82664068122233</v>
      </c>
      <c r="P92" s="43">
        <f>ROUND(($N92*(Table!$AE$10/Table!$AE$9)/(Table!$AC$12-Table!$AC$13)),2)</f>
        <v>916.25</v>
      </c>
      <c r="Q92" s="43">
        <f>'Raw Data'!C92</f>
        <v>1.2968999999999999</v>
      </c>
      <c r="R92" s="43">
        <f>'Raw Data'!C92/'Raw Data'!I$30*100</f>
        <v>12.100179592331743</v>
      </c>
      <c r="S92" s="13">
        <f t="shared" si="7"/>
        <v>0.13746630727762801</v>
      </c>
      <c r="T92" s="13">
        <f t="shared" si="8"/>
        <v>1.2807545906445839E-3</v>
      </c>
      <c r="U92" s="53">
        <f t="shared" si="9"/>
        <v>1.0541912039630025E-2</v>
      </c>
      <c r="V92" s="53">
        <f t="shared" si="10"/>
        <v>0.18102125901927296</v>
      </c>
      <c r="W92" s="53">
        <f t="shared" si="11"/>
        <v>1.0956568417229954E-4</v>
      </c>
      <c r="X92" s="95">
        <f t="shared" si="12"/>
        <v>0.35325721350454492</v>
      </c>
      <c r="AS92" s="114"/>
      <c r="AT92" s="114"/>
    </row>
    <row r="93" spans="1:46" x14ac:dyDescent="0.2">
      <c r="A93" s="43">
        <v>1257.88330078125</v>
      </c>
      <c r="B93" s="139">
        <v>0.78410241143197379</v>
      </c>
      <c r="C93" s="139">
        <f t="shared" si="1"/>
        <v>0.21589758856802621</v>
      </c>
      <c r="D93" s="49">
        <f t="shared" si="2"/>
        <v>1.1908306043465378E-2</v>
      </c>
      <c r="E93" s="42">
        <f>(2*Table!$AC$16*0.147)/A93</f>
        <v>7.2864537758215109E-2</v>
      </c>
      <c r="F93" s="42">
        <f t="shared" si="3"/>
        <v>0.14572907551643022</v>
      </c>
      <c r="G93" s="43">
        <f>IF((('Raw Data'!C93)/('Raw Data'!C$136)*100)&lt;0,0,('Raw Data'!C93)/('Raw Data'!C$136)*100)</f>
        <v>78.410241143197382</v>
      </c>
      <c r="H93" s="43">
        <f t="shared" si="4"/>
        <v>1.1908306043465444</v>
      </c>
      <c r="I93" s="21">
        <f t="shared" si="5"/>
        <v>3.9767923600515953E-2</v>
      </c>
      <c r="J93" s="42">
        <f>'Raw Data'!F93/I93</f>
        <v>0.29944500404619762</v>
      </c>
      <c r="K93" s="143">
        <f t="shared" si="6"/>
        <v>2.7316189551475873</v>
      </c>
      <c r="L93" s="43">
        <f>A93*Table!$AC$9/$AC$16</f>
        <v>282.44192076384525</v>
      </c>
      <c r="M93" s="43">
        <f>A93*Table!$AD$9/$AC$16</f>
        <v>96.837229976175507</v>
      </c>
      <c r="N93" s="43">
        <f>ABS(A93*Table!$AE$9/$AC$16)</f>
        <v>122.30093923758076</v>
      </c>
      <c r="O93" s="43">
        <f>($L93*(Table!$AC$10/Table!$AC$9)/(Table!$AC$12-Table!$AC$14))</f>
        <v>605.83852587697402</v>
      </c>
      <c r="P93" s="43">
        <f>ROUND(($N93*(Table!$AE$10/Table!$AE$9)/(Table!$AC$12-Table!$AC$13)),2)</f>
        <v>1004.11</v>
      </c>
      <c r="Q93" s="43">
        <f>'Raw Data'!C93</f>
        <v>1.3169</v>
      </c>
      <c r="R93" s="43">
        <f>'Raw Data'!C93/'Raw Data'!I$30*100</f>
        <v>12.286781174448047</v>
      </c>
      <c r="S93" s="13">
        <f t="shared" si="7"/>
        <v>0.13477088948787133</v>
      </c>
      <c r="T93" s="13">
        <f t="shared" si="8"/>
        <v>1.0278883127256E-3</v>
      </c>
      <c r="U93" s="53">
        <f t="shared" si="9"/>
        <v>9.7678227915236129E-3</v>
      </c>
      <c r="V93" s="53">
        <f t="shared" si="10"/>
        <v>0.15911859236018375</v>
      </c>
      <c r="W93" s="53">
        <f t="shared" si="11"/>
        <v>8.9441389196738259E-5</v>
      </c>
      <c r="X93" s="95">
        <f t="shared" si="12"/>
        <v>0.35334665489374167</v>
      </c>
      <c r="AS93" s="114"/>
      <c r="AT93" s="114"/>
    </row>
    <row r="94" spans="1:46" x14ac:dyDescent="0.2">
      <c r="A94" s="43">
        <v>1377.6939697265625</v>
      </c>
      <c r="B94" s="139">
        <v>0.79541530217326595</v>
      </c>
      <c r="C94" s="139">
        <f t="shared" si="1"/>
        <v>0.20458469782673405</v>
      </c>
      <c r="D94" s="49">
        <f t="shared" si="2"/>
        <v>1.1312890741292159E-2</v>
      </c>
      <c r="E94" s="42">
        <f>(2*Table!$AC$16*0.147)/A94</f>
        <v>6.6527898995881407E-2</v>
      </c>
      <c r="F94" s="42">
        <f t="shared" si="3"/>
        <v>0.13305579799176281</v>
      </c>
      <c r="G94" s="43">
        <f>IF((('Raw Data'!C94)/('Raw Data'!C$136)*100)&lt;0,0,('Raw Data'!C94)/('Raw Data'!C$136)*100)</f>
        <v>79.541530217326596</v>
      </c>
      <c r="H94" s="43">
        <f t="shared" si="4"/>
        <v>1.1312890741292136</v>
      </c>
      <c r="I94" s="21">
        <f t="shared" si="5"/>
        <v>3.9512405850552934E-2</v>
      </c>
      <c r="J94" s="42">
        <f>'Raw Data'!F94/I94</f>
        <v>0.28631237450032032</v>
      </c>
      <c r="K94" s="143">
        <f t="shared" si="6"/>
        <v>2.9917997637461764</v>
      </c>
      <c r="L94" s="43">
        <f>A94*Table!$AC$9/$AC$16</f>
        <v>309.34390399543599</v>
      </c>
      <c r="M94" s="43">
        <f>A94*Table!$AD$9/$AC$16</f>
        <v>106.06076708414949</v>
      </c>
      <c r="N94" s="43">
        <f>ABS(A94*Table!$AE$9/$AC$16)</f>
        <v>133.94983968295105</v>
      </c>
      <c r="O94" s="43">
        <f>($L94*(Table!$AC$10/Table!$AC$9)/(Table!$AC$12-Table!$AC$14))</f>
        <v>663.54333761354792</v>
      </c>
      <c r="P94" s="43">
        <f>ROUND(($N94*(Table!$AE$10/Table!$AE$9)/(Table!$AC$12-Table!$AC$13)),2)</f>
        <v>1099.75</v>
      </c>
      <c r="Q94" s="43">
        <f>'Raw Data'!C94</f>
        <v>1.3359000000000001</v>
      </c>
      <c r="R94" s="43">
        <f>'Raw Data'!C94/'Raw Data'!I$30*100</f>
        <v>12.464052677458536</v>
      </c>
      <c r="S94" s="13">
        <f t="shared" si="7"/>
        <v>0.12803234501347832</v>
      </c>
      <c r="T94" s="13">
        <f t="shared" si="8"/>
        <v>8.276303887789771E-4</v>
      </c>
      <c r="U94" s="53">
        <f t="shared" si="9"/>
        <v>9.0470401637399462E-3</v>
      </c>
      <c r="V94" s="53">
        <f t="shared" si="10"/>
        <v>0.13977368600589141</v>
      </c>
      <c r="W94" s="53">
        <f t="shared" si="11"/>
        <v>7.0833276239318208E-5</v>
      </c>
      <c r="X94" s="95">
        <f t="shared" si="12"/>
        <v>0.35341748816998098</v>
      </c>
      <c r="AS94" s="114"/>
      <c r="AT94" s="114"/>
    </row>
    <row r="95" spans="1:46" x14ac:dyDescent="0.2">
      <c r="A95" s="43">
        <v>1508.98828125</v>
      </c>
      <c r="B95" s="139">
        <v>0.80631140220303665</v>
      </c>
      <c r="C95" s="139">
        <f t="shared" si="1"/>
        <v>0.19368859779696335</v>
      </c>
      <c r="D95" s="49">
        <f t="shared" si="2"/>
        <v>1.0896100029770706E-2</v>
      </c>
      <c r="E95" s="42">
        <f>(2*Table!$AC$16*0.147)/A95</f>
        <v>6.073942813477607E-2</v>
      </c>
      <c r="F95" s="42">
        <f t="shared" si="3"/>
        <v>0.12147885626955214</v>
      </c>
      <c r="G95" s="43">
        <f>IF((('Raw Data'!C95)/('Raw Data'!C$136)*100)&lt;0,0,('Raw Data'!C95)/('Raw Data'!C$136)*100)</f>
        <v>80.631140220303664</v>
      </c>
      <c r="H95" s="43">
        <f t="shared" si="4"/>
        <v>1.0896100029770679</v>
      </c>
      <c r="I95" s="21">
        <f t="shared" si="5"/>
        <v>3.9533109602582162E-2</v>
      </c>
      <c r="J95" s="42">
        <f>'Raw Data'!F95/I95</f>
        <v>0.27561960441024885</v>
      </c>
      <c r="K95" s="143">
        <f t="shared" si="6"/>
        <v>3.2769184467255315</v>
      </c>
      <c r="L95" s="43">
        <f>A95*Table!$AC$9/$AC$16</f>
        <v>338.82439515786319</v>
      </c>
      <c r="M95" s="43">
        <f>A95*Table!$AD$9/$AC$16</f>
        <v>116.16836405412451</v>
      </c>
      <c r="N95" s="43">
        <f>ABS(A95*Table!$AE$9/$AC$16)</f>
        <v>146.71526681430333</v>
      </c>
      <c r="O95" s="43">
        <f>($L95*(Table!$AC$10/Table!$AC$9)/(Table!$AC$12-Table!$AC$14))</f>
        <v>726.77905439267113</v>
      </c>
      <c r="P95" s="43">
        <f>ROUND(($N95*(Table!$AE$10/Table!$AE$9)/(Table!$AC$12-Table!$AC$13)),2)</f>
        <v>1204.56</v>
      </c>
      <c r="Q95" s="43">
        <f>'Raw Data'!C95</f>
        <v>1.3542000000000001</v>
      </c>
      <c r="R95" s="43">
        <f>'Raw Data'!C95/'Raw Data'!I$30*100</f>
        <v>12.634793125094957</v>
      </c>
      <c r="S95" s="13">
        <f t="shared" si="7"/>
        <v>0.12331536388140096</v>
      </c>
      <c r="T95" s="13">
        <f t="shared" si="8"/>
        <v>6.668544777618246E-4</v>
      </c>
      <c r="U95" s="53">
        <f t="shared" si="9"/>
        <v>8.3730226948009693E-3</v>
      </c>
      <c r="V95" s="53">
        <f t="shared" si="10"/>
        <v>0.12262155280493103</v>
      </c>
      <c r="W95" s="53">
        <f t="shared" si="11"/>
        <v>5.6868084384732829E-5</v>
      </c>
      <c r="X95" s="95">
        <f t="shared" si="12"/>
        <v>0.35347435625436568</v>
      </c>
      <c r="Z95" s="55"/>
      <c r="AS95" s="114"/>
      <c r="AT95" s="114"/>
    </row>
    <row r="96" spans="1:46" x14ac:dyDescent="0.2">
      <c r="A96" s="43">
        <v>1647.8408203125</v>
      </c>
      <c r="B96" s="139">
        <v>0.81673116999106876</v>
      </c>
      <c r="C96" s="139">
        <f t="shared" si="1"/>
        <v>0.18326883000893124</v>
      </c>
      <c r="D96" s="49">
        <f t="shared" si="2"/>
        <v>1.0419767788032108E-2</v>
      </c>
      <c r="E96" s="42">
        <f>(2*Table!$AC$16*0.147)/A96</f>
        <v>5.5621322239014552E-2</v>
      </c>
      <c r="F96" s="42">
        <f t="shared" si="3"/>
        <v>0.1112426444780291</v>
      </c>
      <c r="G96" s="43">
        <f>IF((('Raw Data'!C96)/('Raw Data'!C$136)*100)&lt;0,0,('Raw Data'!C96)/('Raw Data'!C$136)*100)</f>
        <v>81.673116999106881</v>
      </c>
      <c r="H96" s="43">
        <f t="shared" si="4"/>
        <v>1.0419767788032175</v>
      </c>
      <c r="I96" s="21">
        <f t="shared" si="5"/>
        <v>3.8229389924763213E-2</v>
      </c>
      <c r="J96" s="42">
        <f>'Raw Data'!F96/I96</f>
        <v>0.27255909154026731</v>
      </c>
      <c r="K96" s="143">
        <f t="shared" si="6"/>
        <v>3.5784505741000854</v>
      </c>
      <c r="L96" s="43">
        <f>A96*Table!$AC$9/$AC$16</f>
        <v>370.00199153058855</v>
      </c>
      <c r="M96" s="43">
        <f>A96*Table!$AD$9/$AC$16</f>
        <v>126.85782566763037</v>
      </c>
      <c r="N96" s="43">
        <f>ABS(A96*Table!$AE$9/$AC$16)</f>
        <v>160.21556205816222</v>
      </c>
      <c r="O96" s="43">
        <f>($L96*(Table!$AC$10/Table!$AC$9)/(Table!$AC$12-Table!$AC$14))</f>
        <v>793.65506548817814</v>
      </c>
      <c r="P96" s="43">
        <f>ROUND(($N96*(Table!$AE$10/Table!$AE$9)/(Table!$AC$12-Table!$AC$13)),2)</f>
        <v>1315.4</v>
      </c>
      <c r="Q96" s="43">
        <f>'Raw Data'!C96</f>
        <v>1.3716999999999999</v>
      </c>
      <c r="R96" s="43">
        <f>'Raw Data'!C96/'Raw Data'!I$30*100</f>
        <v>12.798069509446719</v>
      </c>
      <c r="S96" s="13">
        <f t="shared" si="7"/>
        <v>0.11792452830188631</v>
      </c>
      <c r="T96" s="13">
        <f t="shared" si="8"/>
        <v>5.3792590999013346E-4</v>
      </c>
      <c r="U96" s="53">
        <f t="shared" si="9"/>
        <v>7.7665690470149094E-3</v>
      </c>
      <c r="V96" s="53">
        <f t="shared" si="10"/>
        <v>0.10798178087573011</v>
      </c>
      <c r="W96" s="53">
        <f t="shared" si="11"/>
        <v>4.5603353296230572E-5</v>
      </c>
      <c r="X96" s="95">
        <f t="shared" si="12"/>
        <v>0.35351995960766192</v>
      </c>
      <c r="Z96" s="132"/>
      <c r="AS96" s="114"/>
      <c r="AT96" s="114"/>
    </row>
    <row r="97" spans="1:46" x14ac:dyDescent="0.2">
      <c r="A97" s="43">
        <v>1810.311767578125</v>
      </c>
      <c r="B97" s="139">
        <v>0.82715093777910087</v>
      </c>
      <c r="C97" s="139">
        <f t="shared" si="1"/>
        <v>0.17284906222089913</v>
      </c>
      <c r="D97" s="49">
        <f t="shared" si="2"/>
        <v>1.0419767788032108E-2</v>
      </c>
      <c r="E97" s="42">
        <f>(2*Table!$AC$16*0.147)/A97</f>
        <v>5.0629447870088051E-2</v>
      </c>
      <c r="F97" s="42">
        <f t="shared" si="3"/>
        <v>0.1012588957401761</v>
      </c>
      <c r="G97" s="43">
        <f>IF((('Raw Data'!C97)/('Raw Data'!C$136)*100)&lt;0,0,('Raw Data'!C97)/('Raw Data'!C$136)*100)</f>
        <v>82.715093777910084</v>
      </c>
      <c r="H97" s="43">
        <f t="shared" si="4"/>
        <v>1.0419767788032033</v>
      </c>
      <c r="I97" s="21">
        <f t="shared" si="5"/>
        <v>4.0838117473146029E-2</v>
      </c>
      <c r="J97" s="42">
        <f>'Raw Data'!F97/I97</f>
        <v>0.2551480928297894</v>
      </c>
      <c r="K97" s="143">
        <f t="shared" si="6"/>
        <v>3.9312724288269285</v>
      </c>
      <c r="L97" s="43">
        <f>A97*Table!$AC$9/$AC$16</f>
        <v>406.48280527978443</v>
      </c>
      <c r="M97" s="43">
        <f>A97*Table!$AD$9/$AC$16</f>
        <v>139.36553323878323</v>
      </c>
      <c r="N97" s="43">
        <f>ABS(A97*Table!$AE$9/$AC$16)</f>
        <v>176.01221778692835</v>
      </c>
      <c r="O97" s="43">
        <f>($L97*(Table!$AC$10/Table!$AC$9)/(Table!$AC$12-Table!$AC$14))</f>
        <v>871.90648923162701</v>
      </c>
      <c r="P97" s="43">
        <f>ROUND(($N97*(Table!$AE$10/Table!$AE$9)/(Table!$AC$12-Table!$AC$13)),2)</f>
        <v>1445.09</v>
      </c>
      <c r="Q97" s="43">
        <f>'Raw Data'!C97</f>
        <v>1.3892</v>
      </c>
      <c r="R97" s="43">
        <f>'Raw Data'!C97/'Raw Data'!I$30*100</f>
        <v>12.961345893798487</v>
      </c>
      <c r="S97" s="13">
        <f t="shared" si="7"/>
        <v>0.11792452830188631</v>
      </c>
      <c r="T97" s="13">
        <f t="shared" si="8"/>
        <v>4.3110090462561423E-4</v>
      </c>
      <c r="U97" s="53">
        <f t="shared" si="9"/>
        <v>7.1597313379553745E-3</v>
      </c>
      <c r="V97" s="53">
        <f t="shared" si="10"/>
        <v>9.4102954634452979E-2</v>
      </c>
      <c r="W97" s="53">
        <f t="shared" si="11"/>
        <v>3.7785097164356617E-5</v>
      </c>
      <c r="X97" s="95">
        <f t="shared" si="12"/>
        <v>0.35355774470482626</v>
      </c>
      <c r="Z97" s="139"/>
      <c r="AS97" s="114"/>
      <c r="AT97" s="114"/>
    </row>
    <row r="98" spans="1:46" x14ac:dyDescent="0.2">
      <c r="A98" s="43">
        <v>1977.9501953125</v>
      </c>
      <c r="B98" s="139">
        <v>0.83685620720452514</v>
      </c>
      <c r="C98" s="139">
        <f t="shared" si="1"/>
        <v>0.16314379279547486</v>
      </c>
      <c r="D98" s="49">
        <f t="shared" si="2"/>
        <v>9.7052694254242677E-3</v>
      </c>
      <c r="E98" s="42">
        <f>(2*Table!$AC$16*0.147)/A98</f>
        <v>4.6338419178811971E-2</v>
      </c>
      <c r="F98" s="42">
        <f t="shared" si="3"/>
        <v>9.2676838357623942E-2</v>
      </c>
      <c r="G98" s="43">
        <f>IF((('Raw Data'!C98)/('Raw Data'!C$136)*100)&lt;0,0,('Raw Data'!C98)/('Raw Data'!C$136)*100)</f>
        <v>83.685620720452519</v>
      </c>
      <c r="H98" s="43">
        <f t="shared" si="4"/>
        <v>0.97052694254243477</v>
      </c>
      <c r="I98" s="21">
        <f t="shared" si="5"/>
        <v>3.8461977414490978E-2</v>
      </c>
      <c r="J98" s="42">
        <f>'Raw Data'!F98/I98</f>
        <v>0.25233412522798943</v>
      </c>
      <c r="K98" s="143">
        <f t="shared" si="6"/>
        <v>4.2953159824109122</v>
      </c>
      <c r="L98" s="43">
        <f>A98*Table!$AC$9/$AC$16</f>
        <v>444.12391196569149</v>
      </c>
      <c r="M98" s="43">
        <f>A98*Table!$AD$9/$AC$16</f>
        <v>152.27105553109422</v>
      </c>
      <c r="N98" s="43">
        <f>ABS(A98*Table!$AE$9/$AC$16)</f>
        <v>192.31129509520625</v>
      </c>
      <c r="O98" s="43">
        <f>($L98*(Table!$AC$10/Table!$AC$9)/(Table!$AC$12-Table!$AC$14))</f>
        <v>952.64674381315217</v>
      </c>
      <c r="P98" s="43">
        <f>ROUND(($N98*(Table!$AE$10/Table!$AE$9)/(Table!$AC$12-Table!$AC$13)),2)</f>
        <v>1578.91</v>
      </c>
      <c r="Q98" s="43">
        <f>'Raw Data'!C98</f>
        <v>1.4055</v>
      </c>
      <c r="R98" s="43">
        <f>'Raw Data'!C98/'Raw Data'!I$30*100</f>
        <v>13.113426183223275</v>
      </c>
      <c r="S98" s="13">
        <f t="shared" si="7"/>
        <v>0.10983827493261496</v>
      </c>
      <c r="T98" s="13">
        <f t="shared" si="8"/>
        <v>3.4775226340688636E-4</v>
      </c>
      <c r="U98" s="53">
        <f t="shared" si="9"/>
        <v>6.6298060559363383E-3</v>
      </c>
      <c r="V98" s="53">
        <f t="shared" si="10"/>
        <v>8.2628675088184861E-2</v>
      </c>
      <c r="W98" s="53">
        <f t="shared" si="11"/>
        <v>2.9481267014368381E-5</v>
      </c>
      <c r="X98" s="95">
        <f t="shared" si="12"/>
        <v>0.35358722597184061</v>
      </c>
      <c r="Z98" s="139"/>
      <c r="AS98" s="114"/>
      <c r="AT98" s="114"/>
    </row>
    <row r="99" spans="1:46" x14ac:dyDescent="0.2">
      <c r="A99" s="43">
        <v>2157.90869140625</v>
      </c>
      <c r="B99" s="139">
        <v>0.84596606132777619</v>
      </c>
      <c r="C99" s="139">
        <f t="shared" si="1"/>
        <v>0.15403393867222381</v>
      </c>
      <c r="D99" s="49">
        <f t="shared" si="2"/>
        <v>9.1098541232510488E-3</v>
      </c>
      <c r="E99" s="42">
        <f>(2*Table!$AC$16*0.147)/A99</f>
        <v>4.2474033136904663E-2</v>
      </c>
      <c r="F99" s="42">
        <f t="shared" si="3"/>
        <v>8.4948066273809325E-2</v>
      </c>
      <c r="G99" s="43">
        <f>IF((('Raw Data'!C99)/('Raw Data'!C$136)*100)&lt;0,0,('Raw Data'!C99)/('Raw Data'!C$136)*100)</f>
        <v>84.596606132777623</v>
      </c>
      <c r="H99" s="43">
        <f t="shared" si="4"/>
        <v>0.91098541232510399</v>
      </c>
      <c r="I99" s="21">
        <f t="shared" si="5"/>
        <v>3.7817712345944443E-2</v>
      </c>
      <c r="J99" s="42">
        <f>'Raw Data'!F99/I99</f>
        <v>0.24088855613256011</v>
      </c>
      <c r="K99" s="143">
        <f t="shared" si="6"/>
        <v>4.6861137923223968</v>
      </c>
      <c r="L99" s="43">
        <f>A99*Table!$AC$9/$AC$16</f>
        <v>484.53133550245633</v>
      </c>
      <c r="M99" s="43">
        <f>A99*Table!$AD$9/$AC$16</f>
        <v>166.12502931512788</v>
      </c>
      <c r="N99" s="43">
        <f>ABS(A99*Table!$AE$9/$AC$16)</f>
        <v>209.80822273736405</v>
      </c>
      <c r="O99" s="43">
        <f>($L99*(Table!$AC$10/Table!$AC$9)/(Table!$AC$12-Table!$AC$14))</f>
        <v>1039.3207539735229</v>
      </c>
      <c r="P99" s="43">
        <f>ROUND(($N99*(Table!$AE$10/Table!$AE$9)/(Table!$AC$12-Table!$AC$13)),2)</f>
        <v>1722.56</v>
      </c>
      <c r="Q99" s="43">
        <f>'Raw Data'!C99</f>
        <v>1.4208000000000001</v>
      </c>
      <c r="R99" s="43">
        <f>'Raw Data'!C99/'Raw Data'!I$30*100</f>
        <v>13.256176393542249</v>
      </c>
      <c r="S99" s="13">
        <f t="shared" si="7"/>
        <v>0.10309973045822196</v>
      </c>
      <c r="T99" s="13">
        <f t="shared" si="8"/>
        <v>2.8202176491787245E-4</v>
      </c>
      <c r="U99" s="53">
        <f t="shared" si="9"/>
        <v>6.1430664079227381E-3</v>
      </c>
      <c r="V99" s="53">
        <f t="shared" si="10"/>
        <v>7.2632716295988914E-2</v>
      </c>
      <c r="W99" s="53">
        <f t="shared" si="11"/>
        <v>2.3249549706029181E-5</v>
      </c>
      <c r="X99" s="95">
        <f t="shared" si="12"/>
        <v>0.35361047552154662</v>
      </c>
      <c r="Z99" s="139"/>
      <c r="AS99" s="114"/>
      <c r="AT99" s="114"/>
    </row>
    <row r="100" spans="1:46" x14ac:dyDescent="0.2">
      <c r="A100" s="43">
        <v>2367.27734375</v>
      </c>
      <c r="B100" s="139">
        <v>0.85537362310211373</v>
      </c>
      <c r="C100" s="139">
        <f t="shared" si="1"/>
        <v>0.14462637689788627</v>
      </c>
      <c r="D100" s="49">
        <f t="shared" si="2"/>
        <v>9.4075617743375473E-3</v>
      </c>
      <c r="E100" s="42">
        <f>(2*Table!$AC$16*0.147)/A100</f>
        <v>3.8717510437544664E-2</v>
      </c>
      <c r="F100" s="42">
        <f t="shared" si="3"/>
        <v>7.7435020875089328E-2</v>
      </c>
      <c r="G100" s="43">
        <f>IF((('Raw Data'!C100)/('Raw Data'!C$136)*100)&lt;0,0,('Raw Data'!C100)/('Raw Data'!C$136)*100)</f>
        <v>85.537362310211378</v>
      </c>
      <c r="H100" s="43">
        <f t="shared" si="4"/>
        <v>0.94075617743375517</v>
      </c>
      <c r="I100" s="21">
        <f t="shared" si="5"/>
        <v>4.0216077434211073E-2</v>
      </c>
      <c r="J100" s="42">
        <f>'Raw Data'!F100/I100</f>
        <v>0.23392539438306106</v>
      </c>
      <c r="K100" s="143">
        <f t="shared" si="6"/>
        <v>5.1407786877071162</v>
      </c>
      <c r="L100" s="43">
        <f>A100*Table!$AC$9/$AC$16</f>
        <v>531.54244080847241</v>
      </c>
      <c r="M100" s="43">
        <f>A100*Table!$AD$9/$AC$16</f>
        <v>182.24312256290483</v>
      </c>
      <c r="N100" s="43">
        <f>ABS(A100*Table!$AE$9/$AC$16)</f>
        <v>230.16462846486172</v>
      </c>
      <c r="O100" s="43">
        <f>($L100*(Table!$AC$10/Table!$AC$9)/(Table!$AC$12-Table!$AC$14))</f>
        <v>1140.1596756938493</v>
      </c>
      <c r="P100" s="43">
        <f>ROUND(($N100*(Table!$AE$10/Table!$AE$9)/(Table!$AC$12-Table!$AC$13)),2)</f>
        <v>1889.69</v>
      </c>
      <c r="Q100" s="43">
        <f>'Raw Data'!C100</f>
        <v>1.4366000000000001</v>
      </c>
      <c r="R100" s="43">
        <f>'Raw Data'!C100/'Raw Data'!I$30*100</f>
        <v>13.403591643414128</v>
      </c>
      <c r="S100" s="13">
        <f t="shared" si="7"/>
        <v>0.1064690026954172</v>
      </c>
      <c r="T100" s="13">
        <f t="shared" si="8"/>
        <v>2.2561899569628618E-4</v>
      </c>
      <c r="U100" s="53">
        <f t="shared" si="9"/>
        <v>5.6620284390427704E-3</v>
      </c>
      <c r="V100" s="53">
        <f t="shared" si="10"/>
        <v>6.3277399996193778E-2</v>
      </c>
      <c r="W100" s="53">
        <f t="shared" si="11"/>
        <v>1.9950236446096423E-5</v>
      </c>
      <c r="X100" s="95">
        <f t="shared" si="12"/>
        <v>0.35363042575799269</v>
      </c>
      <c r="Z100" s="139"/>
      <c r="AS100" s="114"/>
      <c r="AT100" s="114"/>
    </row>
    <row r="101" spans="1:46" x14ac:dyDescent="0.2">
      <c r="A101" s="43">
        <v>2587.785400390625</v>
      </c>
      <c r="B101" s="139">
        <v>0.86412622804406081</v>
      </c>
      <c r="C101" s="139">
        <f t="shared" si="1"/>
        <v>0.13587377195593919</v>
      </c>
      <c r="D101" s="49">
        <f t="shared" si="2"/>
        <v>8.7526049419470731E-3</v>
      </c>
      <c r="E101" s="42">
        <f>(2*Table!$AC$16*0.147)/A101</f>
        <v>3.5418348542876989E-2</v>
      </c>
      <c r="F101" s="42">
        <f t="shared" si="3"/>
        <v>7.0836697085753977E-2</v>
      </c>
      <c r="G101" s="43">
        <f>IF((('Raw Data'!C101)/('Raw Data'!C$136)*100)&lt;0,0,('Raw Data'!C101)/('Raw Data'!C$136)*100)</f>
        <v>86.412622804406084</v>
      </c>
      <c r="H101" s="43">
        <f t="shared" si="4"/>
        <v>0.87526049419470553</v>
      </c>
      <c r="I101" s="21">
        <f t="shared" si="5"/>
        <v>3.8679116694918303E-2</v>
      </c>
      <c r="J101" s="42">
        <f>'Raw Data'!F101/I101</f>
        <v>0.22628761176174941</v>
      </c>
      <c r="K101" s="143">
        <f t="shared" si="6"/>
        <v>5.6196339097362049</v>
      </c>
      <c r="L101" s="43">
        <f>A101*Table!$AC$9/$AC$16</f>
        <v>581.05475965617427</v>
      </c>
      <c r="M101" s="43">
        <f>A101*Table!$AD$9/$AC$16</f>
        <v>199.21877473925974</v>
      </c>
      <c r="N101" s="43">
        <f>ABS(A101*Table!$AE$9/$AC$16)</f>
        <v>251.60409142605417</v>
      </c>
      <c r="O101" s="43">
        <f>($L101*(Table!$AC$10/Table!$AC$9)/(Table!$AC$12-Table!$AC$14))</f>
        <v>1246.3637058261997</v>
      </c>
      <c r="P101" s="43">
        <f>ROUND(($N101*(Table!$AE$10/Table!$AE$9)/(Table!$AC$12-Table!$AC$13)),2)</f>
        <v>2065.7199999999998</v>
      </c>
      <c r="Q101" s="43">
        <f>'Raw Data'!C101</f>
        <v>1.4513</v>
      </c>
      <c r="R101" s="43">
        <f>'Raw Data'!C101/'Raw Data'!I$30*100</f>
        <v>13.540743806269612</v>
      </c>
      <c r="S101" s="13">
        <f t="shared" si="7"/>
        <v>9.9056603773585661E-2</v>
      </c>
      <c r="T101" s="13">
        <f t="shared" si="8"/>
        <v>1.8170505191261732E-4</v>
      </c>
      <c r="U101" s="53">
        <f t="shared" si="9"/>
        <v>5.232560553214978E-3</v>
      </c>
      <c r="V101" s="53">
        <f t="shared" si="10"/>
        <v>5.5375634338871847E-2</v>
      </c>
      <c r="W101" s="53">
        <f t="shared" si="11"/>
        <v>1.5532811134197668E-5</v>
      </c>
      <c r="X101" s="95">
        <f t="shared" si="12"/>
        <v>0.35364595856912689</v>
      </c>
      <c r="Z101" s="139"/>
      <c r="AS101" s="114"/>
      <c r="AT101" s="114"/>
    </row>
    <row r="102" spans="1:46" x14ac:dyDescent="0.2">
      <c r="A102" s="43">
        <v>2828.416259765625</v>
      </c>
      <c r="B102" s="139">
        <v>0.87240250074426917</v>
      </c>
      <c r="C102" s="139">
        <f t="shared" si="1"/>
        <v>0.12759749925573083</v>
      </c>
      <c r="D102" s="49">
        <f t="shared" si="2"/>
        <v>8.2762727002083647E-3</v>
      </c>
      <c r="E102" s="42">
        <f>(2*Table!$AC$16*0.147)/A102</f>
        <v>3.2405090639946531E-2</v>
      </c>
      <c r="F102" s="42">
        <f t="shared" si="3"/>
        <v>6.4810181279893062E-2</v>
      </c>
      <c r="G102" s="43">
        <f>IF((('Raw Data'!C102)/('Raw Data'!C$136)*100)&lt;0,0,('Raw Data'!C102)/('Raw Data'!C$136)*100)</f>
        <v>87.24025007442691</v>
      </c>
      <c r="H102" s="43">
        <f t="shared" si="4"/>
        <v>0.8276272700208267</v>
      </c>
      <c r="I102" s="21">
        <f t="shared" si="5"/>
        <v>3.8615066854883029E-2</v>
      </c>
      <c r="J102" s="42">
        <f>'Raw Data'!F102/I102</f>
        <v>0.21432755072808574</v>
      </c>
      <c r="K102" s="143">
        <f t="shared" si="6"/>
        <v>6.1421878034511144</v>
      </c>
      <c r="L102" s="43">
        <f>A102*Table!$AC$9/$AC$16</f>
        <v>635.08540150881538</v>
      </c>
      <c r="M102" s="43">
        <f>A102*Table!$AD$9/$AC$16</f>
        <v>217.74356623159386</v>
      </c>
      <c r="N102" s="43">
        <f>ABS(A102*Table!$AE$9/$AC$16)</f>
        <v>275.00004563963711</v>
      </c>
      <c r="O102" s="43">
        <f>($L102*(Table!$AC$10/Table!$AC$9)/(Table!$AC$12-Table!$AC$14))</f>
        <v>1362.2595484959577</v>
      </c>
      <c r="P102" s="43">
        <f>ROUND(($N102*(Table!$AE$10/Table!$AE$9)/(Table!$AC$12-Table!$AC$13)),2)</f>
        <v>2257.8000000000002</v>
      </c>
      <c r="Q102" s="43">
        <f>'Raw Data'!C102</f>
        <v>1.4652000000000001</v>
      </c>
      <c r="R102" s="43">
        <f>'Raw Data'!C102/'Raw Data'!I$30*100</f>
        <v>13.670431905840443</v>
      </c>
      <c r="S102" s="13">
        <f t="shared" si="7"/>
        <v>9.3665768194069757E-2</v>
      </c>
      <c r="T102" s="13">
        <f t="shared" si="8"/>
        <v>1.4694585183372411E-4</v>
      </c>
      <c r="U102" s="53">
        <f t="shared" si="9"/>
        <v>4.8332461173777987E-3</v>
      </c>
      <c r="V102" s="53">
        <f t="shared" si="10"/>
        <v>4.8419566149825864E-2</v>
      </c>
      <c r="W102" s="53">
        <f t="shared" si="11"/>
        <v>1.2294684637319525E-5</v>
      </c>
      <c r="X102" s="95">
        <f t="shared" si="12"/>
        <v>0.35365825325376421</v>
      </c>
      <c r="Z102" s="139"/>
      <c r="AS102" s="114"/>
      <c r="AT102" s="114"/>
    </row>
    <row r="103" spans="1:46" x14ac:dyDescent="0.2">
      <c r="A103" s="43">
        <v>3097.677490234375</v>
      </c>
      <c r="B103" s="139">
        <v>0.88085739803512952</v>
      </c>
      <c r="C103" s="139">
        <f t="shared" si="1"/>
        <v>0.11914260196487048</v>
      </c>
      <c r="D103" s="49">
        <f t="shared" si="2"/>
        <v>8.4548972908603526E-3</v>
      </c>
      <c r="E103" s="42">
        <f>(2*Table!$AC$16*0.147)/A103</f>
        <v>2.9588324011828898E-2</v>
      </c>
      <c r="F103" s="42">
        <f t="shared" si="3"/>
        <v>5.9176648023657796E-2</v>
      </c>
      <c r="G103" s="43">
        <f>IF((('Raw Data'!C103)/('Raw Data'!C$136)*100)&lt;0,0,('Raw Data'!C103)/('Raw Data'!C$136)*100)</f>
        <v>88.085739803512951</v>
      </c>
      <c r="H103" s="43">
        <f t="shared" si="4"/>
        <v>0.84548972908604014</v>
      </c>
      <c r="I103" s="21">
        <f t="shared" si="5"/>
        <v>3.9492874682145462E-2</v>
      </c>
      <c r="J103" s="42">
        <f>'Raw Data'!F103/I103</f>
        <v>0.21408665129871568</v>
      </c>
      <c r="K103" s="143">
        <f t="shared" si="6"/>
        <v>6.7269154014548258</v>
      </c>
      <c r="L103" s="43">
        <f>A103*Table!$AC$9/$AC$16</f>
        <v>695.54463415273108</v>
      </c>
      <c r="M103" s="43">
        <f>A103*Table!$AD$9/$AC$16</f>
        <v>238.47244599522207</v>
      </c>
      <c r="N103" s="43">
        <f>ABS(A103*Table!$AE$9/$AC$16)</f>
        <v>301.17966132110928</v>
      </c>
      <c r="O103" s="43">
        <f>($L103*(Table!$AC$10/Table!$AC$9)/(Table!$AC$12-Table!$AC$14))</f>
        <v>1491.9447322023404</v>
      </c>
      <c r="P103" s="43">
        <f>ROUND(($N103*(Table!$AE$10/Table!$AE$9)/(Table!$AC$12-Table!$AC$13)),2)</f>
        <v>2472.7399999999998</v>
      </c>
      <c r="Q103" s="43">
        <f>'Raw Data'!C103</f>
        <v>1.4794</v>
      </c>
      <c r="R103" s="43">
        <f>'Raw Data'!C103/'Raw Data'!I$30*100</f>
        <v>13.802919029143018</v>
      </c>
      <c r="S103" s="13">
        <f t="shared" si="7"/>
        <v>9.5687331536387907E-2</v>
      </c>
      <c r="T103" s="13">
        <f t="shared" si="8"/>
        <v>1.1734136290375563E-4</v>
      </c>
      <c r="U103" s="53">
        <f t="shared" si="9"/>
        <v>4.4558928657542941E-3</v>
      </c>
      <c r="V103" s="53">
        <f t="shared" si="10"/>
        <v>4.2200883353373388E-2</v>
      </c>
      <c r="W103" s="53">
        <f t="shared" si="11"/>
        <v>1.0471410573762931E-5</v>
      </c>
      <c r="X103" s="95">
        <f t="shared" si="12"/>
        <v>0.35366872466433796</v>
      </c>
      <c r="Z103" s="139"/>
      <c r="AS103" s="114"/>
      <c r="AT103" s="114"/>
    </row>
    <row r="104" spans="1:46" x14ac:dyDescent="0.2">
      <c r="A104" s="43">
        <v>3388.3642578125</v>
      </c>
      <c r="B104" s="139">
        <v>0.88877642155403391</v>
      </c>
      <c r="C104" s="139">
        <f t="shared" si="1"/>
        <v>0.11122357844596609</v>
      </c>
      <c r="D104" s="49">
        <f t="shared" si="2"/>
        <v>7.9190235189043889E-3</v>
      </c>
      <c r="E104" s="42">
        <f>(2*Table!$AC$16*0.147)/A104</f>
        <v>2.7049950445521286E-2</v>
      </c>
      <c r="F104" s="42">
        <f t="shared" si="3"/>
        <v>5.4099900891042572E-2</v>
      </c>
      <c r="G104" s="43">
        <f>IF((('Raw Data'!C104)/('Raw Data'!C$136)*100)&lt;0,0,('Raw Data'!C104)/('Raw Data'!C$136)*100)</f>
        <v>88.877642155403393</v>
      </c>
      <c r="H104" s="43">
        <f t="shared" si="4"/>
        <v>0.79190235189044245</v>
      </c>
      <c r="I104" s="21">
        <f t="shared" si="5"/>
        <v>3.8953892036991178E-2</v>
      </c>
      <c r="J104" s="42">
        <f>'Raw Data'!F104/I104</f>
        <v>0.20329222844752895</v>
      </c>
      <c r="K104" s="143">
        <f t="shared" si="6"/>
        <v>7.358170688677272</v>
      </c>
      <c r="L104" s="43">
        <f>A104*Table!$AC$9/$AC$16</f>
        <v>760.81470246861284</v>
      </c>
      <c r="M104" s="43">
        <f>A104*Table!$AD$9/$AC$16</f>
        <v>260.85075513209586</v>
      </c>
      <c r="N104" s="43">
        <f>ABS(A104*Table!$AE$9/$AC$16)</f>
        <v>329.442429955259</v>
      </c>
      <c r="O104" s="43">
        <f>($L104*(Table!$AC$10/Table!$AC$9)/(Table!$AC$12-Table!$AC$14))</f>
        <v>1631.9491687443435</v>
      </c>
      <c r="P104" s="43">
        <f>ROUND(($N104*(Table!$AE$10/Table!$AE$9)/(Table!$AC$12-Table!$AC$13)),2)</f>
        <v>2704.78</v>
      </c>
      <c r="Q104" s="43">
        <f>'Raw Data'!C104</f>
        <v>1.4926999999999999</v>
      </c>
      <c r="R104" s="43">
        <f>'Raw Data'!C104/'Raw Data'!I$30*100</f>
        <v>13.927009081250361</v>
      </c>
      <c r="S104" s="13">
        <f t="shared" si="7"/>
        <v>8.9622641509433443E-2</v>
      </c>
      <c r="T104" s="13">
        <f t="shared" si="8"/>
        <v>9.4166718410115813E-5</v>
      </c>
      <c r="U104" s="53">
        <f t="shared" si="9"/>
        <v>4.1102455407912731E-3</v>
      </c>
      <c r="V104" s="53">
        <f t="shared" si="10"/>
        <v>3.6814871541133297E-2</v>
      </c>
      <c r="W104" s="53">
        <f t="shared" si="11"/>
        <v>8.1971088225223498E-6</v>
      </c>
      <c r="X104" s="95">
        <f t="shared" si="12"/>
        <v>0.35367692177316051</v>
      </c>
      <c r="Z104" s="139"/>
      <c r="AS104" s="114"/>
      <c r="AT104" s="114"/>
    </row>
    <row r="105" spans="1:46" x14ac:dyDescent="0.2">
      <c r="A105" s="43">
        <v>3707.504150390625</v>
      </c>
      <c r="B105" s="139">
        <v>0.89651682048228643</v>
      </c>
      <c r="C105" s="139">
        <f t="shared" si="1"/>
        <v>0.10348317951771357</v>
      </c>
      <c r="D105" s="49">
        <f t="shared" si="2"/>
        <v>7.7403989282525121E-3</v>
      </c>
      <c r="E105" s="42">
        <f>(2*Table!$AC$16*0.147)/A105</f>
        <v>2.4721505775130905E-2</v>
      </c>
      <c r="F105" s="42">
        <f t="shared" si="3"/>
        <v>4.944301155026181E-2</v>
      </c>
      <c r="G105" s="43">
        <f>IF((('Raw Data'!C105)/('Raw Data'!C$136)*100)&lt;0,0,('Raw Data'!C105)/('Raw Data'!C$136)*100)</f>
        <v>89.651682048228636</v>
      </c>
      <c r="H105" s="43">
        <f t="shared" si="4"/>
        <v>0.77403989282524321</v>
      </c>
      <c r="I105" s="21">
        <f t="shared" si="5"/>
        <v>3.909155394010555E-2</v>
      </c>
      <c r="J105" s="42">
        <f>'Raw Data'!F105/I105</f>
        <v>0.19800693879071751</v>
      </c>
      <c r="K105" s="143">
        <f t="shared" si="6"/>
        <v>8.0512147726306313</v>
      </c>
      <c r="L105" s="43">
        <f>A105*Table!$AC$9/$AC$16</f>
        <v>832.47356318816401</v>
      </c>
      <c r="M105" s="43">
        <f>A105*Table!$AD$9/$AC$16</f>
        <v>285.4195073787991</v>
      </c>
      <c r="N105" s="43">
        <f>ABS(A105*Table!$AE$9/$AC$16)</f>
        <v>360.4716268499501</v>
      </c>
      <c r="O105" s="43">
        <f>($L105*(Table!$AC$10/Table!$AC$9)/(Table!$AC$12-Table!$AC$14))</f>
        <v>1785.6575786961907</v>
      </c>
      <c r="P105" s="43">
        <f>ROUND(($N105*(Table!$AE$10/Table!$AE$9)/(Table!$AC$12-Table!$AC$13)),2)</f>
        <v>2959.54</v>
      </c>
      <c r="Q105" s="43">
        <f>'Raw Data'!C105</f>
        <v>1.5057</v>
      </c>
      <c r="R105" s="43">
        <f>'Raw Data'!C105/'Raw Data'!I$30*100</f>
        <v>14.048300109625957</v>
      </c>
      <c r="S105" s="13">
        <f t="shared" si="7"/>
        <v>8.7601078167116556E-2</v>
      </c>
      <c r="T105" s="13">
        <f t="shared" si="8"/>
        <v>7.5246694360209254E-5</v>
      </c>
      <c r="U105" s="53">
        <f t="shared" si="9"/>
        <v>3.7891529017292725E-3</v>
      </c>
      <c r="V105" s="53">
        <f t="shared" si="10"/>
        <v>3.2083935777786829E-2</v>
      </c>
      <c r="W105" s="53">
        <f t="shared" si="11"/>
        <v>6.6922060489116065E-6</v>
      </c>
      <c r="X105" s="95">
        <f t="shared" si="12"/>
        <v>0.35368361397920944</v>
      </c>
      <c r="Z105" s="139"/>
      <c r="AS105" s="114"/>
      <c r="AT105" s="114"/>
    </row>
    <row r="106" spans="1:46" x14ac:dyDescent="0.2">
      <c r="A106" s="43">
        <v>4057.88720703125</v>
      </c>
      <c r="B106" s="139">
        <v>0.90395951175945222</v>
      </c>
      <c r="C106" s="139">
        <f t="shared" si="1"/>
        <v>9.6040488240547783E-2</v>
      </c>
      <c r="D106" s="49">
        <f t="shared" si="2"/>
        <v>7.4426912771657916E-3</v>
      </c>
      <c r="E106" s="42">
        <f>(2*Table!$AC$16*0.147)/A106</f>
        <v>2.2586898203180588E-2</v>
      </c>
      <c r="F106" s="42">
        <f t="shared" si="3"/>
        <v>4.5173796406361176E-2</v>
      </c>
      <c r="G106" s="43">
        <f>IF((('Raw Data'!C106)/('Raw Data'!C$136)*100)&lt;0,0,('Raw Data'!C106)/('Raw Data'!C$136)*100)</f>
        <v>90.395951175945228</v>
      </c>
      <c r="H106" s="43">
        <f t="shared" si="4"/>
        <v>0.74426912771659204</v>
      </c>
      <c r="I106" s="21">
        <f t="shared" si="5"/>
        <v>3.9218325347942118E-2</v>
      </c>
      <c r="J106" s="42">
        <f>'Raw Data'!F106/I106</f>
        <v>0.1897758563410033</v>
      </c>
      <c r="K106" s="143">
        <f t="shared" si="6"/>
        <v>8.8121065012096143</v>
      </c>
      <c r="L106" s="43">
        <f>A106*Table!$AC$9/$AC$16</f>
        <v>911.14768459451477</v>
      </c>
      <c r="M106" s="43">
        <f>A106*Table!$AD$9/$AC$16</f>
        <v>312.3934918609765</v>
      </c>
      <c r="N106" s="43">
        <f>ABS(A106*Table!$AE$9/$AC$16)</f>
        <v>394.53852072911053</v>
      </c>
      <c r="O106" s="43">
        <f>($L106*(Table!$AC$10/Table!$AC$9)/(Table!$AC$12-Table!$AC$14))</f>
        <v>1954.4137378689722</v>
      </c>
      <c r="P106" s="43">
        <f>ROUND(($N106*(Table!$AE$10/Table!$AE$9)/(Table!$AC$12-Table!$AC$13)),2)</f>
        <v>3239.23</v>
      </c>
      <c r="Q106" s="43">
        <f>'Raw Data'!C106</f>
        <v>1.5182</v>
      </c>
      <c r="R106" s="43">
        <f>'Raw Data'!C106/'Raw Data'!I$30*100</f>
        <v>14.16492609844865</v>
      </c>
      <c r="S106" s="13">
        <f t="shared" si="7"/>
        <v>8.4231805929918788E-2</v>
      </c>
      <c r="T106" s="13">
        <f t="shared" si="8"/>
        <v>6.0060404180606319E-5</v>
      </c>
      <c r="U106" s="53">
        <f t="shared" si="9"/>
        <v>3.4907145950002164E-3</v>
      </c>
      <c r="V106" s="53">
        <f t="shared" si="10"/>
        <v>2.7928077934193128E-2</v>
      </c>
      <c r="W106" s="53">
        <f t="shared" si="11"/>
        <v>5.3715461847291979E-6</v>
      </c>
      <c r="X106" s="95">
        <f t="shared" si="12"/>
        <v>0.35368898552539418</v>
      </c>
      <c r="Z106" s="139"/>
      <c r="AS106" s="114"/>
      <c r="AT106" s="114"/>
    </row>
    <row r="107" spans="1:46" x14ac:dyDescent="0.2">
      <c r="A107" s="43">
        <v>4436.26611328125</v>
      </c>
      <c r="B107" s="139">
        <v>0.91140220303661801</v>
      </c>
      <c r="C107" s="139">
        <f t="shared" si="1"/>
        <v>8.8597796963381992E-2</v>
      </c>
      <c r="D107" s="49">
        <f t="shared" si="2"/>
        <v>7.4426912771657916E-3</v>
      </c>
      <c r="E107" s="42">
        <f>(2*Table!$AC$16*0.147)/A107</f>
        <v>2.0660411915057922E-2</v>
      </c>
      <c r="F107" s="42">
        <f t="shared" si="3"/>
        <v>4.1320823830115844E-2</v>
      </c>
      <c r="G107" s="43">
        <f>IF((('Raw Data'!C107)/('Raw Data'!C$136)*100)&lt;0,0,('Raw Data'!C107)/('Raw Data'!C$136)*100)</f>
        <v>91.140220303661806</v>
      </c>
      <c r="H107" s="43">
        <f t="shared" si="4"/>
        <v>0.74426912771657783</v>
      </c>
      <c r="I107" s="21">
        <f t="shared" si="5"/>
        <v>3.8717618568208101E-2</v>
      </c>
      <c r="J107" s="42">
        <f>'Raw Data'!F107/I107</f>
        <v>0.19223008935981284</v>
      </c>
      <c r="K107" s="143">
        <f t="shared" si="6"/>
        <v>9.6337940074342132</v>
      </c>
      <c r="L107" s="43">
        <f>A107*Table!$AC$9/$AC$16</f>
        <v>996.10792295001067</v>
      </c>
      <c r="M107" s="43">
        <f>A107*Table!$AD$9/$AC$16</f>
        <v>341.52271644000365</v>
      </c>
      <c r="N107" s="43">
        <f>ABS(A107*Table!$AE$9/$AC$16)</f>
        <v>431.32738309283081</v>
      </c>
      <c r="O107" s="43">
        <f>($L107*(Table!$AC$10/Table!$AC$9)/(Table!$AC$12-Table!$AC$14))</f>
        <v>2136.6536313814045</v>
      </c>
      <c r="P107" s="43">
        <f>ROUND(($N107*(Table!$AE$10/Table!$AE$9)/(Table!$AC$12-Table!$AC$13)),2)</f>
        <v>3541.28</v>
      </c>
      <c r="Q107" s="43">
        <f>'Raw Data'!C107</f>
        <v>1.5306999999999999</v>
      </c>
      <c r="R107" s="43">
        <f>'Raw Data'!C107/'Raw Data'!I$30*100</f>
        <v>14.281552087271338</v>
      </c>
      <c r="S107" s="13">
        <f t="shared" si="7"/>
        <v>8.4231805929918788E-2</v>
      </c>
      <c r="T107" s="13">
        <f t="shared" si="8"/>
        <v>4.7354181653136429E-5</v>
      </c>
      <c r="U107" s="53">
        <f t="shared" si="9"/>
        <v>3.2192730829458962E-3</v>
      </c>
      <c r="V107" s="53">
        <f t="shared" si="10"/>
        <v>2.4355181285648824E-2</v>
      </c>
      <c r="W107" s="53">
        <f t="shared" si="11"/>
        <v>4.494320886327762E-6</v>
      </c>
      <c r="X107" s="95">
        <f t="shared" si="12"/>
        <v>0.35369347984628052</v>
      </c>
      <c r="Z107" s="139"/>
      <c r="AS107" s="114"/>
      <c r="AT107" s="114"/>
    </row>
    <row r="108" spans="1:46" x14ac:dyDescent="0.2">
      <c r="A108" s="43">
        <v>4846.330078125</v>
      </c>
      <c r="B108" s="139">
        <v>0.91848764513247994</v>
      </c>
      <c r="C108" s="139">
        <f t="shared" si="1"/>
        <v>8.1512354867520065E-2</v>
      </c>
      <c r="D108" s="49">
        <f t="shared" si="2"/>
        <v>7.0854420958619269E-3</v>
      </c>
      <c r="E108" s="42">
        <f>(2*Table!$AC$16*0.147)/A108</f>
        <v>1.8912266351586215E-2</v>
      </c>
      <c r="F108" s="42">
        <f t="shared" si="3"/>
        <v>3.7824532703172431E-2</v>
      </c>
      <c r="G108" s="43">
        <f>IF((('Raw Data'!C108)/('Raw Data'!C$136)*100)&lt;0,0,('Raw Data'!C108)/('Raw Data'!C$136)*100)</f>
        <v>91.848764513248</v>
      </c>
      <c r="H108" s="43">
        <f t="shared" si="4"/>
        <v>0.70854420958619357</v>
      </c>
      <c r="I108" s="21">
        <f t="shared" si="5"/>
        <v>3.8395400329862106E-2</v>
      </c>
      <c r="J108" s="42">
        <f>'Raw Data'!F108/I108</f>
        <v>0.18453882587470272</v>
      </c>
      <c r="K108" s="143">
        <f t="shared" si="6"/>
        <v>10.524288776300658</v>
      </c>
      <c r="L108" s="43">
        <f>A108*Table!$AC$9/$AC$16</f>
        <v>1088.1826438677406</v>
      </c>
      <c r="M108" s="43">
        <f>A108*Table!$AD$9/$AC$16</f>
        <v>373.09119218322536</v>
      </c>
      <c r="N108" s="43">
        <f>ABS(A108*Table!$AE$9/$AC$16)</f>
        <v>471.19690677338912</v>
      </c>
      <c r="O108" s="43">
        <f>($L108*(Table!$AC$10/Table!$AC$9)/(Table!$AC$12-Table!$AC$14))</f>
        <v>2334.154105250409</v>
      </c>
      <c r="P108" s="43">
        <f>ROUND(($N108*(Table!$AE$10/Table!$AE$9)/(Table!$AC$12-Table!$AC$13)),2)</f>
        <v>3868.61</v>
      </c>
      <c r="Q108" s="43">
        <f>'Raw Data'!C108</f>
        <v>1.5426</v>
      </c>
      <c r="R108" s="43">
        <f>'Raw Data'!C108/'Raw Data'!I$30*100</f>
        <v>14.392580028630539</v>
      </c>
      <c r="S108" s="13">
        <f t="shared" si="7"/>
        <v>8.018867924528375E-2</v>
      </c>
      <c r="T108" s="13">
        <f t="shared" si="8"/>
        <v>3.7218274942629748E-5</v>
      </c>
      <c r="U108" s="53">
        <f t="shared" si="9"/>
        <v>2.9697894688590618E-3</v>
      </c>
      <c r="V108" s="53">
        <f t="shared" si="10"/>
        <v>2.1249660292490757E-2</v>
      </c>
      <c r="W108" s="53">
        <f t="shared" si="11"/>
        <v>3.5851738888012018E-6</v>
      </c>
      <c r="X108" s="95">
        <f t="shared" si="12"/>
        <v>0.35369706502016934</v>
      </c>
      <c r="Z108" s="139"/>
      <c r="AS108" s="114"/>
      <c r="AT108" s="114"/>
    </row>
    <row r="109" spans="1:46" x14ac:dyDescent="0.2">
      <c r="A109" s="43">
        <v>5306.1572265625</v>
      </c>
      <c r="B109" s="139">
        <v>0.92473950580529918</v>
      </c>
      <c r="C109" s="139">
        <f t="shared" si="1"/>
        <v>7.5260494194700822E-2</v>
      </c>
      <c r="D109" s="49">
        <f t="shared" si="2"/>
        <v>6.2518606728192427E-3</v>
      </c>
      <c r="E109" s="42">
        <f>(2*Table!$AC$16*0.147)/A109</f>
        <v>1.7273345163309601E-2</v>
      </c>
      <c r="F109" s="42">
        <f t="shared" si="3"/>
        <v>3.4546690326619202E-2</v>
      </c>
      <c r="G109" s="43">
        <f>IF((('Raw Data'!C109)/('Raw Data'!C$136)*100)&lt;0,0,('Raw Data'!C109)/('Raw Data'!C$136)*100)</f>
        <v>92.473950580529916</v>
      </c>
      <c r="H109" s="43">
        <f t="shared" si="4"/>
        <v>0.62518606728191628</v>
      </c>
      <c r="I109" s="21">
        <f t="shared" si="5"/>
        <v>3.9367124281239674E-2</v>
      </c>
      <c r="J109" s="42">
        <f>'Raw Data'!F109/I109</f>
        <v>0.15880917864753852</v>
      </c>
      <c r="K109" s="143">
        <f t="shared" si="6"/>
        <v>11.522849258010856</v>
      </c>
      <c r="L109" s="43">
        <f>A109*Table!$AC$9/$AC$16</f>
        <v>1191.4310636085754</v>
      </c>
      <c r="M109" s="43">
        <f>A109*Table!$AD$9/$AC$16</f>
        <v>408.49065038008303</v>
      </c>
      <c r="N109" s="43">
        <f>ABS(A109*Table!$AE$9/$AC$16)</f>
        <v>515.9047839714699</v>
      </c>
      <c r="O109" s="43">
        <f>($L109*(Table!$AC$10/Table!$AC$9)/(Table!$AC$12-Table!$AC$14))</f>
        <v>2555.6221870625818</v>
      </c>
      <c r="P109" s="43">
        <f>ROUND(($N109*(Table!$AE$10/Table!$AE$9)/(Table!$AC$12-Table!$AC$13)),2)</f>
        <v>4235.67</v>
      </c>
      <c r="Q109" s="43">
        <f>'Raw Data'!C109</f>
        <v>1.5530999999999999</v>
      </c>
      <c r="R109" s="43">
        <f>'Raw Data'!C109/'Raw Data'!I$30*100</f>
        <v>14.4905458592416</v>
      </c>
      <c r="S109" s="13">
        <f t="shared" si="7"/>
        <v>7.0754716981131532E-2</v>
      </c>
      <c r="T109" s="13">
        <f t="shared" si="8"/>
        <v>2.9757727545098867E-5</v>
      </c>
      <c r="U109" s="53">
        <f t="shared" si="9"/>
        <v>2.7308926668629914E-3</v>
      </c>
      <c r="V109" s="53">
        <f t="shared" si="10"/>
        <v>1.8440132068434638E-2</v>
      </c>
      <c r="W109" s="53">
        <f t="shared" si="11"/>
        <v>2.638871932171246E-6</v>
      </c>
      <c r="X109" s="95">
        <f t="shared" si="12"/>
        <v>0.35369970389210154</v>
      </c>
      <c r="Z109" s="139"/>
      <c r="AS109" s="114"/>
      <c r="AT109" s="114"/>
    </row>
    <row r="110" spans="1:46" x14ac:dyDescent="0.2">
      <c r="A110" s="43">
        <v>5806.18505859375</v>
      </c>
      <c r="B110" s="139">
        <v>0.93128907412920514</v>
      </c>
      <c r="C110" s="139">
        <f t="shared" si="1"/>
        <v>6.8710925870794859E-2</v>
      </c>
      <c r="D110" s="49">
        <f t="shared" si="2"/>
        <v>6.5495683239059632E-3</v>
      </c>
      <c r="E110" s="42">
        <f>(2*Table!$AC$16*0.147)/A110</f>
        <v>1.5785767132851666E-2</v>
      </c>
      <c r="F110" s="42">
        <f t="shared" si="3"/>
        <v>3.1571534265703333E-2</v>
      </c>
      <c r="G110" s="43">
        <f>IF((('Raw Data'!C110)/('Raw Data'!C$136)*100)&lt;0,0,('Raw Data'!C110)/('Raw Data'!C$136)*100)</f>
        <v>93.128907412920512</v>
      </c>
      <c r="H110" s="43">
        <f t="shared" si="4"/>
        <v>0.65495683239059588</v>
      </c>
      <c r="I110" s="21">
        <f t="shared" si="5"/>
        <v>3.9110759437126275E-2</v>
      </c>
      <c r="J110" s="42">
        <f>'Raw Data'!F110/I110</f>
        <v>0.16746205949886825</v>
      </c>
      <c r="K110" s="143">
        <f t="shared" si="6"/>
        <v>12.608709530763971</v>
      </c>
      <c r="L110" s="43">
        <f>A110*Table!$AC$9/$AC$16</f>
        <v>1303.7060427155982</v>
      </c>
      <c r="M110" s="43">
        <f>A110*Table!$AD$9/$AC$16</f>
        <v>446.98492893106226</v>
      </c>
      <c r="N110" s="43">
        <f>ABS(A110*Table!$AE$9/$AC$16)</f>
        <v>564.5212760294944</v>
      </c>
      <c r="O110" s="43">
        <f>($L110*(Table!$AC$10/Table!$AC$9)/(Table!$AC$12-Table!$AC$14))</f>
        <v>2796.4522580772168</v>
      </c>
      <c r="P110" s="43">
        <f>ROUND(($N110*(Table!$AE$10/Table!$AE$9)/(Table!$AC$12-Table!$AC$13)),2)</f>
        <v>4634.82</v>
      </c>
      <c r="Q110" s="43">
        <f>'Raw Data'!C110</f>
        <v>1.5641</v>
      </c>
      <c r="R110" s="43">
        <f>'Raw Data'!C110/'Raw Data'!I$30*100</f>
        <v>14.593176729405569</v>
      </c>
      <c r="S110" s="13">
        <f t="shared" si="7"/>
        <v>7.4123989218329286E-2</v>
      </c>
      <c r="T110" s="13">
        <f t="shared" si="8"/>
        <v>2.3230142165431289E-5</v>
      </c>
      <c r="U110" s="53">
        <f t="shared" si="9"/>
        <v>2.5133847065046898E-3</v>
      </c>
      <c r="V110" s="53">
        <f t="shared" si="10"/>
        <v>1.6025471303467487E-2</v>
      </c>
      <c r="W110" s="53">
        <f t="shared" si="11"/>
        <v>2.3088737227921463E-6</v>
      </c>
      <c r="X110" s="95">
        <f t="shared" si="12"/>
        <v>0.3537020127658243</v>
      </c>
      <c r="Z110" s="139"/>
      <c r="AS110" s="114"/>
      <c r="AT110" s="114"/>
    </row>
    <row r="111" spans="1:46" x14ac:dyDescent="0.2">
      <c r="A111" s="43">
        <v>6356.0322265625</v>
      </c>
      <c r="B111" s="139">
        <v>0.93742185174158976</v>
      </c>
      <c r="C111" s="139">
        <f t="shared" si="1"/>
        <v>6.2578148258410238E-2</v>
      </c>
      <c r="D111" s="49">
        <f t="shared" si="2"/>
        <v>6.1327776123846212E-3</v>
      </c>
      <c r="E111" s="42">
        <f>(2*Table!$AC$16*0.147)/A111</f>
        <v>1.4420173151760904E-2</v>
      </c>
      <c r="F111" s="42">
        <f t="shared" si="3"/>
        <v>2.8840346303521808E-2</v>
      </c>
      <c r="G111" s="43">
        <f>IF((('Raw Data'!C111)/('Raw Data'!C$136)*100)&lt;0,0,('Raw Data'!C111)/('Raw Data'!C$136)*100)</f>
        <v>93.742185174158976</v>
      </c>
      <c r="H111" s="43">
        <f t="shared" si="4"/>
        <v>0.61327776123846434</v>
      </c>
      <c r="I111" s="21">
        <f t="shared" si="5"/>
        <v>3.9295216676043632E-2</v>
      </c>
      <c r="J111" s="42">
        <f>'Raw Data'!F111/I111</f>
        <v>0.15606931660268653</v>
      </c>
      <c r="K111" s="143">
        <f t="shared" si="6"/>
        <v>13.80275745677174</v>
      </c>
      <c r="L111" s="43">
        <f>A111*Table!$AC$9/$AC$16</f>
        <v>1427.167328950339</v>
      </c>
      <c r="M111" s="43">
        <f>A111*Table!$AD$9/$AC$16</f>
        <v>489.31451278297334</v>
      </c>
      <c r="N111" s="43">
        <f>ABS(A111*Table!$AE$9/$AC$16)</f>
        <v>617.98158116108812</v>
      </c>
      <c r="O111" s="43">
        <f>($L111*(Table!$AC$10/Table!$AC$9)/(Table!$AC$12-Table!$AC$14))</f>
        <v>3061.2769818754591</v>
      </c>
      <c r="P111" s="43">
        <f>ROUND(($N111*(Table!$AE$10/Table!$AE$9)/(Table!$AC$12-Table!$AC$13)),2)</f>
        <v>5073.74</v>
      </c>
      <c r="Q111" s="43">
        <f>'Raw Data'!C111</f>
        <v>1.5744</v>
      </c>
      <c r="R111" s="43">
        <f>'Raw Data'!C111/'Raw Data'!I$30*100</f>
        <v>14.689276544195465</v>
      </c>
      <c r="S111" s="13">
        <f t="shared" si="7"/>
        <v>6.9407008086253191E-2</v>
      </c>
      <c r="T111" s="13">
        <f t="shared" si="8"/>
        <v>1.8129713625358868E-5</v>
      </c>
      <c r="U111" s="53">
        <f t="shared" si="9"/>
        <v>2.3110764735911025E-3</v>
      </c>
      <c r="V111" s="53">
        <f t="shared" si="10"/>
        <v>1.3905381388927178E-2</v>
      </c>
      <c r="W111" s="53">
        <f t="shared" si="11"/>
        <v>1.8040737494825506E-6</v>
      </c>
      <c r="X111" s="95">
        <f t="shared" si="12"/>
        <v>0.3537038168395738</v>
      </c>
      <c r="Z111" s="139"/>
      <c r="AS111" s="114"/>
      <c r="AT111" s="114"/>
    </row>
    <row r="112" spans="1:46" x14ac:dyDescent="0.2">
      <c r="A112" s="43">
        <v>6946.64892578125</v>
      </c>
      <c r="B112" s="139">
        <v>0.94313783864245315</v>
      </c>
      <c r="C112" s="139">
        <f t="shared" si="1"/>
        <v>5.6862161357546848E-2</v>
      </c>
      <c r="D112" s="49">
        <f t="shared" si="2"/>
        <v>5.7159869008633901E-3</v>
      </c>
      <c r="E112" s="42">
        <f>(2*Table!$AC$16*0.147)/A112</f>
        <v>1.3194143859068811E-2</v>
      </c>
      <c r="F112" s="42">
        <f t="shared" si="3"/>
        <v>2.6388287718137622E-2</v>
      </c>
      <c r="G112" s="43">
        <f>IF((('Raw Data'!C112)/('Raw Data'!C$136)*100)&lt;0,0,('Raw Data'!C112)/('Raw Data'!C$136)*100)</f>
        <v>94.313783864245309</v>
      </c>
      <c r="H112" s="43">
        <f t="shared" si="4"/>
        <v>0.57159869008633279</v>
      </c>
      <c r="I112" s="21">
        <f t="shared" si="5"/>
        <v>3.8589260259634051E-2</v>
      </c>
      <c r="J112" s="42">
        <f>'Raw Data'!F112/I112</f>
        <v>0.14812377491575154</v>
      </c>
      <c r="K112" s="143">
        <f t="shared" si="6"/>
        <v>15.08534048320243</v>
      </c>
      <c r="L112" s="43">
        <f>A112*Table!$AC$9/$AC$16</f>
        <v>1559.7829021588711</v>
      </c>
      <c r="M112" s="43">
        <f>A112*Table!$AD$9/$AC$16</f>
        <v>534.78270931161296</v>
      </c>
      <c r="N112" s="43">
        <f>ABS(A112*Table!$AE$9/$AC$16)</f>
        <v>675.40580882910001</v>
      </c>
      <c r="O112" s="43">
        <f>($L112*(Table!$AC$10/Table!$AC$9)/(Table!$AC$12-Table!$AC$14))</f>
        <v>3345.7376708684496</v>
      </c>
      <c r="P112" s="43">
        <f>ROUND(($N112*(Table!$AE$10/Table!$AE$9)/(Table!$AC$12-Table!$AC$13)),2)</f>
        <v>5545.2</v>
      </c>
      <c r="Q112" s="43">
        <f>'Raw Data'!C112</f>
        <v>1.5840000000000001</v>
      </c>
      <c r="R112" s="43">
        <f>'Raw Data'!C112/'Raw Data'!I$30*100</f>
        <v>14.778845303611291</v>
      </c>
      <c r="S112" s="13">
        <f t="shared" si="7"/>
        <v>6.4690026954178331E-2</v>
      </c>
      <c r="T112" s="13">
        <f t="shared" si="8"/>
        <v>1.4149905310456568E-5</v>
      </c>
      <c r="U112" s="53">
        <f t="shared" si="9"/>
        <v>2.1274783656853938E-3</v>
      </c>
      <c r="V112" s="53">
        <f t="shared" si="10"/>
        <v>1.2089069336295801E-2</v>
      </c>
      <c r="W112" s="53">
        <f t="shared" si="11"/>
        <v>1.4076989124566392E-6</v>
      </c>
      <c r="X112" s="95">
        <f t="shared" si="12"/>
        <v>0.35370522453848624</v>
      </c>
      <c r="Z112" s="139"/>
      <c r="AS112" s="114"/>
      <c r="AT112" s="114"/>
    </row>
    <row r="113" spans="1:46" x14ac:dyDescent="0.2">
      <c r="A113" s="43">
        <v>7605.603515625</v>
      </c>
      <c r="B113" s="139">
        <v>0.94855611789222982</v>
      </c>
      <c r="C113" s="139">
        <f t="shared" si="1"/>
        <v>5.1443882107770178E-2</v>
      </c>
      <c r="D113" s="49">
        <f t="shared" si="2"/>
        <v>5.4182792497766696E-3</v>
      </c>
      <c r="E113" s="42">
        <f>(2*Table!$AC$16*0.147)/A113</f>
        <v>1.2050994385508901E-2</v>
      </c>
      <c r="F113" s="42">
        <f t="shared" si="3"/>
        <v>2.4101988771017803E-2</v>
      </c>
      <c r="G113" s="43">
        <f>IF((('Raw Data'!C113)/('Raw Data'!C$136)*100)&lt;0,0,('Raw Data'!C113)/('Raw Data'!C$136)*100)</f>
        <v>94.855611789222976</v>
      </c>
      <c r="H113" s="43">
        <f t="shared" si="4"/>
        <v>0.54182792497766741</v>
      </c>
      <c r="I113" s="21">
        <f t="shared" si="5"/>
        <v>3.935833087620666E-2</v>
      </c>
      <c r="J113" s="42">
        <f>'Raw Data'!F113/I113</f>
        <v>0.13766537170538878</v>
      </c>
      <c r="K113" s="143">
        <f t="shared" si="6"/>
        <v>16.516326050051699</v>
      </c>
      <c r="L113" s="43">
        <f>A113*Table!$AC$9/$AC$16</f>
        <v>1707.7428917191323</v>
      </c>
      <c r="M113" s="43">
        <f>A113*Table!$AD$9/$AC$16</f>
        <v>585.51184858941679</v>
      </c>
      <c r="N113" s="43">
        <f>ABS(A113*Table!$AE$9/$AC$16)</f>
        <v>739.47436368053332</v>
      </c>
      <c r="O113" s="43">
        <f>($L113*(Table!$AC$10/Table!$AC$9)/(Table!$AC$12-Table!$AC$14))</f>
        <v>3663.112165849705</v>
      </c>
      <c r="P113" s="43">
        <f>ROUND(($N113*(Table!$AE$10/Table!$AE$9)/(Table!$AC$12-Table!$AC$13)),2)</f>
        <v>6071.22</v>
      </c>
      <c r="Q113" s="43">
        <f>'Raw Data'!C113</f>
        <v>1.5931</v>
      </c>
      <c r="R113" s="43">
        <f>'Raw Data'!C113/'Raw Data'!I$30*100</f>
        <v>14.863749023474208</v>
      </c>
      <c r="S113" s="13">
        <f t="shared" si="7"/>
        <v>6.1320754716980584E-2</v>
      </c>
      <c r="T113" s="13">
        <f t="shared" si="8"/>
        <v>1.1002768283696618E-5</v>
      </c>
      <c r="U113" s="53">
        <f t="shared" si="9"/>
        <v>1.9543155244600941E-3</v>
      </c>
      <c r="V113" s="53">
        <f t="shared" si="10"/>
        <v>1.0472368190039034E-2</v>
      </c>
      <c r="W113" s="53">
        <f t="shared" si="11"/>
        <v>1.1131745600438414E-6</v>
      </c>
      <c r="X113" s="95">
        <f t="shared" si="12"/>
        <v>0.35370633771304627</v>
      </c>
      <c r="Z113" s="139"/>
      <c r="AS113" s="114"/>
      <c r="AT113" s="114"/>
    </row>
    <row r="114" spans="1:46" x14ac:dyDescent="0.2">
      <c r="A114" s="43">
        <v>8316.3798828125</v>
      </c>
      <c r="B114" s="139">
        <v>0.95337898183983327</v>
      </c>
      <c r="C114" s="139">
        <f t="shared" si="1"/>
        <v>4.6621018160166727E-2</v>
      </c>
      <c r="D114" s="49">
        <f t="shared" si="2"/>
        <v>4.8228639476034507E-3</v>
      </c>
      <c r="E114" s="42">
        <f>(2*Table!$AC$16*0.147)/A114</f>
        <v>1.10210315734407E-2</v>
      </c>
      <c r="F114" s="42">
        <f t="shared" si="3"/>
        <v>2.20420631468814E-2</v>
      </c>
      <c r="G114" s="43">
        <f>IF((('Raw Data'!C114)/('Raw Data'!C$136)*100)&lt;0,0,('Raw Data'!C114)/('Raw Data'!C$136)*100)</f>
        <v>95.337898183983327</v>
      </c>
      <c r="H114" s="43">
        <f t="shared" si="4"/>
        <v>0.48228639476035084</v>
      </c>
      <c r="I114" s="21">
        <f t="shared" si="5"/>
        <v>3.8800637541660521E-2</v>
      </c>
      <c r="J114" s="42">
        <f>'Raw Data'!F114/I114</f>
        <v>0.12429857479597101</v>
      </c>
      <c r="K114" s="143">
        <f t="shared" si="6"/>
        <v>18.059847771243515</v>
      </c>
      <c r="L114" s="43">
        <f>A114*Table!$AC$9/$AC$16</f>
        <v>1867.3388115133623</v>
      </c>
      <c r="M114" s="43">
        <f>A114*Table!$AD$9/$AC$16</f>
        <v>640.23044966172426</v>
      </c>
      <c r="N114" s="43">
        <f>ABS(A114*Table!$AE$9/$AC$16)</f>
        <v>808.58142412160669</v>
      </c>
      <c r="O114" s="43">
        <f>($L114*(Table!$AC$10/Table!$AC$9)/(Table!$AC$12-Table!$AC$14))</f>
        <v>4005.445756141919</v>
      </c>
      <c r="P114" s="43">
        <f>ROUND(($N114*(Table!$AE$10/Table!$AE$9)/(Table!$AC$12-Table!$AC$13)),2)</f>
        <v>6638.6</v>
      </c>
      <c r="Q114" s="43">
        <f>'Raw Data'!C114</f>
        <v>1.6012</v>
      </c>
      <c r="R114" s="43">
        <f>'Raw Data'!C114/'Raw Data'!I$30*100</f>
        <v>14.939322664231311</v>
      </c>
      <c r="S114" s="13">
        <f t="shared" si="7"/>
        <v>5.4582210242587581E-2</v>
      </c>
      <c r="T114" s="13">
        <f t="shared" si="8"/>
        <v>8.6598453470365655E-6</v>
      </c>
      <c r="U114" s="53">
        <f t="shared" si="9"/>
        <v>1.7963732867838898E-3</v>
      </c>
      <c r="V114" s="53">
        <f t="shared" si="10"/>
        <v>9.0814987256661768E-3</v>
      </c>
      <c r="W114" s="53">
        <f t="shared" si="11"/>
        <v>8.2871580966685619E-7</v>
      </c>
      <c r="X114" s="95">
        <f t="shared" si="12"/>
        <v>0.35370716642885591</v>
      </c>
      <c r="Z114" s="139"/>
      <c r="AS114" s="114"/>
      <c r="AT114" s="114"/>
    </row>
    <row r="115" spans="1:46" x14ac:dyDescent="0.2">
      <c r="A115" s="43">
        <v>9095.7431640625</v>
      </c>
      <c r="B115" s="139">
        <v>0.95867817802917543</v>
      </c>
      <c r="C115" s="139">
        <f t="shared" si="1"/>
        <v>4.1321821970824568E-2</v>
      </c>
      <c r="D115" s="49">
        <f t="shared" si="2"/>
        <v>5.2991961893421591E-3</v>
      </c>
      <c r="E115" s="42">
        <f>(2*Table!$AC$16*0.147)/A115</f>
        <v>1.00767011130366E-2</v>
      </c>
      <c r="F115" s="42">
        <f t="shared" si="3"/>
        <v>2.0153402226073199E-2</v>
      </c>
      <c r="G115" s="43">
        <f>IF((('Raw Data'!C115)/('Raw Data'!C$136)*100)&lt;0,0,('Raw Data'!C115)/('Raw Data'!C$136)*100)</f>
        <v>95.867817802917543</v>
      </c>
      <c r="H115" s="43">
        <f t="shared" si="4"/>
        <v>0.52991961893421546</v>
      </c>
      <c r="I115" s="21">
        <f t="shared" si="5"/>
        <v>3.8903869513857714E-2</v>
      </c>
      <c r="J115" s="42">
        <f>'Raw Data'!F115/I115</f>
        <v>0.13621257359642758</v>
      </c>
      <c r="K115" s="143">
        <f t="shared" si="6"/>
        <v>19.752312812067476</v>
      </c>
      <c r="L115" s="43">
        <f>A115*Table!$AC$9/$AC$16</f>
        <v>2042.3350627493451</v>
      </c>
      <c r="M115" s="43">
        <f>A115*Table!$AD$9/$AC$16</f>
        <v>700.22916437120398</v>
      </c>
      <c r="N115" s="43">
        <f>ABS(A115*Table!$AE$9/$AC$16)</f>
        <v>884.35702369030912</v>
      </c>
      <c r="O115" s="43">
        <f>($L115*(Table!$AC$10/Table!$AC$9)/(Table!$AC$12-Table!$AC$14))</f>
        <v>4380.8130904104364</v>
      </c>
      <c r="P115" s="43">
        <f>ROUND(($N115*(Table!$AE$10/Table!$AE$9)/(Table!$AC$12-Table!$AC$13)),2)</f>
        <v>7260.73</v>
      </c>
      <c r="Q115" s="43">
        <f>'Raw Data'!C115</f>
        <v>1.6101000000000001</v>
      </c>
      <c r="R115" s="43">
        <f>'Raw Data'!C115/'Raw Data'!I$30*100</f>
        <v>15.022360368273066</v>
      </c>
      <c r="S115" s="13">
        <f t="shared" si="7"/>
        <v>5.9973045822103485E-2</v>
      </c>
      <c r="T115" s="13">
        <f t="shared" si="8"/>
        <v>6.5077809991986868E-6</v>
      </c>
      <c r="U115" s="53">
        <f t="shared" si="9"/>
        <v>1.6515814153181868E-3</v>
      </c>
      <c r="V115" s="53">
        <f t="shared" si="10"/>
        <v>7.8784679776654782E-3</v>
      </c>
      <c r="W115" s="53">
        <f t="shared" si="11"/>
        <v>7.6120717432709405E-7</v>
      </c>
      <c r="X115" s="95">
        <f t="shared" si="12"/>
        <v>0.35370792763603026</v>
      </c>
      <c r="Z115" s="139"/>
      <c r="AS115" s="114"/>
      <c r="AT115" s="114"/>
    </row>
    <row r="116" spans="1:46" x14ac:dyDescent="0.2">
      <c r="A116" s="43">
        <v>9956.6552734375</v>
      </c>
      <c r="B116" s="139">
        <v>0.96296516820482281</v>
      </c>
      <c r="C116" s="139">
        <f t="shared" si="1"/>
        <v>3.7034831795177192E-2</v>
      </c>
      <c r="D116" s="49">
        <f t="shared" si="2"/>
        <v>4.2869901756473761E-3</v>
      </c>
      <c r="E116" s="42">
        <f>(2*Table!$AC$16*0.147)/A116</f>
        <v>9.2054091206433871E-3</v>
      </c>
      <c r="F116" s="42">
        <f t="shared" si="3"/>
        <v>1.8410818241286774E-2</v>
      </c>
      <c r="G116" s="43">
        <f>IF((('Raw Data'!C116)/('Raw Data'!C$136)*100)&lt;0,0,('Raw Data'!C116)/('Raw Data'!C$136)*100)</f>
        <v>96.296516820482282</v>
      </c>
      <c r="H116" s="43">
        <f t="shared" si="4"/>
        <v>0.42869901756473894</v>
      </c>
      <c r="I116" s="21">
        <f t="shared" si="5"/>
        <v>3.9275282222682506E-2</v>
      </c>
      <c r="J116" s="42">
        <f>'Raw Data'!F116/I116</f>
        <v>0.10915237098338473</v>
      </c>
      <c r="K116" s="143">
        <f t="shared" si="6"/>
        <v>21.621869260765266</v>
      </c>
      <c r="L116" s="43">
        <f>A116*Table!$AC$9/$AC$16</f>
        <v>2235.642080681539</v>
      </c>
      <c r="M116" s="43">
        <f>A116*Table!$AD$9/$AC$16</f>
        <v>766.50585623367056</v>
      </c>
      <c r="N116" s="43">
        <f>ABS(A116*Table!$AE$9/$AC$16)</f>
        <v>968.06141781985627</v>
      </c>
      <c r="O116" s="43">
        <f>($L116*(Table!$AC$10/Table!$AC$9)/(Table!$AC$12-Table!$AC$14))</f>
        <v>4795.4570585189604</v>
      </c>
      <c r="P116" s="43">
        <f>ROUND(($N116*(Table!$AE$10/Table!$AE$9)/(Table!$AC$12-Table!$AC$13)),2)</f>
        <v>7947.96</v>
      </c>
      <c r="Q116" s="43">
        <f>'Raw Data'!C116</f>
        <v>1.6173</v>
      </c>
      <c r="R116" s="43">
        <f>'Raw Data'!C116/'Raw Data'!I$30*100</f>
        <v>15.089536937834936</v>
      </c>
      <c r="S116" s="13">
        <f t="shared" si="7"/>
        <v>4.8517520215631868E-2</v>
      </c>
      <c r="T116" s="13">
        <f t="shared" si="8"/>
        <v>5.0548426790975043E-6</v>
      </c>
      <c r="U116" s="53">
        <f t="shared" si="9"/>
        <v>1.5155226854233878E-3</v>
      </c>
      <c r="V116" s="53">
        <f t="shared" si="10"/>
        <v>6.8124602997626117E-3</v>
      </c>
      <c r="W116" s="53">
        <f t="shared" si="11"/>
        <v>5.1391914670201864E-7</v>
      </c>
      <c r="X116" s="95">
        <f t="shared" si="12"/>
        <v>0.35370844155517694</v>
      </c>
      <c r="Z116" s="139"/>
      <c r="AS116" s="114"/>
      <c r="AT116" s="114"/>
    </row>
    <row r="117" spans="1:46" x14ac:dyDescent="0.2">
      <c r="A117" s="43">
        <v>10895.544921875</v>
      </c>
      <c r="B117" s="139">
        <v>0.96725215838047041</v>
      </c>
      <c r="C117" s="139">
        <f t="shared" si="1"/>
        <v>3.2747841619529594E-2</v>
      </c>
      <c r="D117" s="49">
        <f t="shared" si="2"/>
        <v>4.2869901756475981E-3</v>
      </c>
      <c r="E117" s="42">
        <f>(2*Table!$AC$16*0.147)/A117</f>
        <v>8.4121616607892285E-3</v>
      </c>
      <c r="F117" s="42">
        <f t="shared" si="3"/>
        <v>1.6824323321578457E-2</v>
      </c>
      <c r="G117" s="43">
        <f>IF((('Raw Data'!C117)/('Raw Data'!C$136)*100)&lt;0,0,('Raw Data'!C117)/('Raw Data'!C$136)*100)</f>
        <v>96.725215838047035</v>
      </c>
      <c r="H117" s="43">
        <f t="shared" si="4"/>
        <v>0.42869901756475315</v>
      </c>
      <c r="I117" s="21">
        <f t="shared" si="5"/>
        <v>3.913548468537309E-2</v>
      </c>
      <c r="J117" s="42">
        <f>'Raw Data'!F117/I117</f>
        <v>0.10954227883243421</v>
      </c>
      <c r="K117" s="143">
        <f t="shared" si="6"/>
        <v>23.660761707203534</v>
      </c>
      <c r="L117" s="43">
        <f>A117*Table!$AC$9/$AC$16</f>
        <v>2446.4579771365434</v>
      </c>
      <c r="M117" s="43">
        <f>A117*Table!$AD$9/$AC$16</f>
        <v>838.78559216110057</v>
      </c>
      <c r="N117" s="43">
        <f>ABS(A117*Table!$AE$9/$AC$16)</f>
        <v>1059.347378745668</v>
      </c>
      <c r="O117" s="43">
        <f>($L117*(Table!$AC$10/Table!$AC$9)/(Table!$AC$12-Table!$AC$14))</f>
        <v>5247.6576086154955</v>
      </c>
      <c r="P117" s="43">
        <f>ROUND(($N117*(Table!$AE$10/Table!$AE$9)/(Table!$AC$12-Table!$AC$13)),2)</f>
        <v>8697.43</v>
      </c>
      <c r="Q117" s="43">
        <f>'Raw Data'!C117</f>
        <v>1.6245000000000001</v>
      </c>
      <c r="R117" s="43">
        <f>'Raw Data'!C117/'Raw Data'!I$30*100</f>
        <v>15.156713507396807</v>
      </c>
      <c r="S117" s="13">
        <f t="shared" si="7"/>
        <v>4.851752021563438E-2</v>
      </c>
      <c r="T117" s="13">
        <f t="shared" si="8"/>
        <v>3.8415202978647756E-6</v>
      </c>
      <c r="U117" s="53">
        <f t="shared" si="9"/>
        <v>1.3910927462624336E-3</v>
      </c>
      <c r="V117" s="53">
        <f t="shared" si="10"/>
        <v>5.8937001555266644E-3</v>
      </c>
      <c r="W117" s="53">
        <f t="shared" si="11"/>
        <v>4.2916453791461072E-7</v>
      </c>
      <c r="X117" s="95">
        <f t="shared" si="12"/>
        <v>0.35370887071971485</v>
      </c>
      <c r="Z117" s="139"/>
      <c r="AS117" s="114"/>
      <c r="AT117" s="114"/>
    </row>
    <row r="118" spans="1:46" x14ac:dyDescent="0.2">
      <c r="A118" s="43">
        <v>11896.017578125</v>
      </c>
      <c r="B118" s="139">
        <v>0.97094373325394467</v>
      </c>
      <c r="C118" s="139">
        <f t="shared" si="1"/>
        <v>2.9056266746055326E-2</v>
      </c>
      <c r="D118" s="49">
        <f t="shared" si="2"/>
        <v>3.6915748734742682E-3</v>
      </c>
      <c r="E118" s="42">
        <f>(2*Table!$AC$16*0.147)/A118</f>
        <v>7.7046864350422328E-3</v>
      </c>
      <c r="F118" s="42">
        <f t="shared" si="3"/>
        <v>1.5409372870084466E-2</v>
      </c>
      <c r="G118" s="43">
        <f>IF((('Raw Data'!C118)/('Raw Data'!C$136)*100)&lt;0,0,('Raw Data'!C118)/('Raw Data'!C$136)*100)</f>
        <v>97.094373325394471</v>
      </c>
      <c r="H118" s="43">
        <f t="shared" si="4"/>
        <v>0.36915748734743659</v>
      </c>
      <c r="I118" s="21">
        <f t="shared" si="5"/>
        <v>3.8152641634260132E-2</v>
      </c>
      <c r="J118" s="42">
        <f>'Raw Data'!F118/I118</f>
        <v>9.6758041261272063E-2</v>
      </c>
      <c r="K118" s="143">
        <f t="shared" si="6"/>
        <v>25.833387792804633</v>
      </c>
      <c r="L118" s="43">
        <f>A118*Table!$AC$9/$AC$16</f>
        <v>2671.101565717021</v>
      </c>
      <c r="M118" s="43">
        <f>A118*Table!$AD$9/$AC$16</f>
        <v>915.80625110297865</v>
      </c>
      <c r="N118" s="43">
        <f>ABS(A118*Table!$AE$9/$AC$16)</f>
        <v>1156.6209059996647</v>
      </c>
      <c r="O118" s="43">
        <f>($L118*(Table!$AC$10/Table!$AC$9)/(Table!$AC$12-Table!$AC$14))</f>
        <v>5729.518587981599</v>
      </c>
      <c r="P118" s="43">
        <f>ROUND(($N118*(Table!$AE$10/Table!$AE$9)/(Table!$AC$12-Table!$AC$13)),2)</f>
        <v>9496.07</v>
      </c>
      <c r="Q118" s="43">
        <f>'Raw Data'!C118</f>
        <v>1.6307</v>
      </c>
      <c r="R118" s="43">
        <f>'Raw Data'!C118/'Raw Data'!I$30*100</f>
        <v>15.214559997852861</v>
      </c>
      <c r="S118" s="13">
        <f t="shared" si="7"/>
        <v>4.1778975741240121E-2</v>
      </c>
      <c r="T118" s="13">
        <f t="shared" si="8"/>
        <v>2.9650642976442043E-6</v>
      </c>
      <c r="U118" s="53">
        <f t="shared" si="9"/>
        <v>1.2789624677278693E-3</v>
      </c>
      <c r="V118" s="53">
        <f t="shared" si="10"/>
        <v>5.1129251543095486E-3</v>
      </c>
      <c r="W118" s="53">
        <f t="shared" si="11"/>
        <v>3.1001145298720476E-7</v>
      </c>
      <c r="X118" s="95">
        <f t="shared" si="12"/>
        <v>0.35370918073116786</v>
      </c>
      <c r="Z118" s="139"/>
      <c r="AS118" s="114"/>
      <c r="AT118" s="114"/>
    </row>
    <row r="119" spans="1:46" x14ac:dyDescent="0.2">
      <c r="A119" s="43">
        <v>12996.1474609375</v>
      </c>
      <c r="B119" s="139">
        <v>0.97457576659720158</v>
      </c>
      <c r="C119" s="139">
        <f t="shared" si="1"/>
        <v>2.5424233402798424E-2</v>
      </c>
      <c r="D119" s="49">
        <f t="shared" si="2"/>
        <v>3.6320333432569019E-3</v>
      </c>
      <c r="E119" s="42">
        <f>(2*Table!$AC$16*0.147)/A119</f>
        <v>7.0524811711079136E-3</v>
      </c>
      <c r="F119" s="42">
        <f t="shared" si="3"/>
        <v>1.4104962342215827E-2</v>
      </c>
      <c r="G119" s="43">
        <f>IF((('Raw Data'!C119)/('Raw Data'!C$136)*100)&lt;0,0,('Raw Data'!C119)/('Raw Data'!C$136)*100)</f>
        <v>97.457576659720161</v>
      </c>
      <c r="H119" s="43">
        <f t="shared" si="4"/>
        <v>0.3632033343256893</v>
      </c>
      <c r="I119" s="21">
        <f t="shared" si="5"/>
        <v>3.841303317957756E-2</v>
      </c>
      <c r="J119" s="42">
        <f>'Raw Data'!F119/I119</f>
        <v>9.4552110120475638E-2</v>
      </c>
      <c r="K119" s="143">
        <f t="shared" si="6"/>
        <v>28.222429478268207</v>
      </c>
      <c r="L119" s="43">
        <f>A119*Table!$AC$9/$AC$16</f>
        <v>2918.1219347753286</v>
      </c>
      <c r="M119" s="43">
        <f>A119*Table!$AD$9/$AC$16</f>
        <v>1000.4989490658269</v>
      </c>
      <c r="N119" s="43">
        <f>ABS(A119*Table!$AE$9/$AC$16)</f>
        <v>1263.5838634280158</v>
      </c>
      <c r="O119" s="43">
        <f>($L119*(Table!$AC$10/Table!$AC$9)/(Table!$AC$12-Table!$AC$14))</f>
        <v>6259.3778094708905</v>
      </c>
      <c r="P119" s="43">
        <f>ROUND(($N119*(Table!$AE$10/Table!$AE$9)/(Table!$AC$12-Table!$AC$13)),2)</f>
        <v>10374.25</v>
      </c>
      <c r="Q119" s="43">
        <f>'Raw Data'!C119</f>
        <v>1.6368</v>
      </c>
      <c r="R119" s="43">
        <f>'Raw Data'!C119/'Raw Data'!I$30*100</f>
        <v>15.271473480398331</v>
      </c>
      <c r="S119" s="13">
        <f t="shared" si="7"/>
        <v>4.1105121293800319E-2</v>
      </c>
      <c r="T119" s="13">
        <f t="shared" si="8"/>
        <v>2.2425570671558148E-6</v>
      </c>
      <c r="U119" s="53">
        <f t="shared" si="9"/>
        <v>1.1750769623305503E-3</v>
      </c>
      <c r="V119" s="53">
        <f t="shared" si="10"/>
        <v>4.4305233435770778E-3</v>
      </c>
      <c r="W119" s="53">
        <f t="shared" si="11"/>
        <v>2.5555819834894832E-7</v>
      </c>
      <c r="X119" s="95">
        <f t="shared" si="12"/>
        <v>0.35370943628936619</v>
      </c>
      <c r="Z119" s="139"/>
      <c r="AS119" s="114"/>
      <c r="AT119" s="114"/>
    </row>
    <row r="120" spans="1:46" x14ac:dyDescent="0.2">
      <c r="A120" s="43">
        <v>14295.568359375</v>
      </c>
      <c r="B120" s="139">
        <v>0.97802917534980649</v>
      </c>
      <c r="C120" s="139">
        <f t="shared" si="1"/>
        <v>2.197082465019351E-2</v>
      </c>
      <c r="D120" s="49">
        <f t="shared" si="2"/>
        <v>3.453408752604914E-3</v>
      </c>
      <c r="E120" s="42">
        <f>(2*Table!$AC$16*0.147)/A120</f>
        <v>6.4114334569353761E-3</v>
      </c>
      <c r="F120" s="42">
        <f t="shared" si="3"/>
        <v>1.2822866913870752E-2</v>
      </c>
      <c r="G120" s="43">
        <f>IF((('Raw Data'!C120)/('Raw Data'!C$136)*100)&lt;0,0,('Raw Data'!C120)/('Raw Data'!C$136)*100)</f>
        <v>97.802917534980651</v>
      </c>
      <c r="H120" s="43">
        <f t="shared" si="4"/>
        <v>0.34534087526049007</v>
      </c>
      <c r="I120" s="21">
        <f t="shared" si="5"/>
        <v>4.1386796172593776E-2</v>
      </c>
      <c r="J120" s="42">
        <f>'Raw Data'!F120/I120</f>
        <v>8.3442282852803959E-2</v>
      </c>
      <c r="K120" s="143">
        <f t="shared" si="6"/>
        <v>31.044251466589564</v>
      </c>
      <c r="L120" s="43">
        <f>A120*Table!$AC$9/$AC$16</f>
        <v>3209.8906021925877</v>
      </c>
      <c r="M120" s="43">
        <f>A120*Table!$AD$9/$AC$16</f>
        <v>1100.5339207517445</v>
      </c>
      <c r="N120" s="43">
        <f>ABS(A120*Table!$AE$9/$AC$16)</f>
        <v>1389.9234024338555</v>
      </c>
      <c r="O120" s="43">
        <f>($L120*(Table!$AC$10/Table!$AC$9)/(Table!$AC$12-Table!$AC$14))</f>
        <v>6885.222226925328</v>
      </c>
      <c r="P120" s="43">
        <f>ROUND(($N120*(Table!$AE$10/Table!$AE$9)/(Table!$AC$12-Table!$AC$13)),2)</f>
        <v>11411.52</v>
      </c>
      <c r="Q120" s="43">
        <f>'Raw Data'!C120</f>
        <v>1.6426000000000001</v>
      </c>
      <c r="R120" s="43">
        <f>'Raw Data'!C120/'Raw Data'!I$30*100</f>
        <v>15.325587939212063</v>
      </c>
      <c r="S120" s="13">
        <f t="shared" si="7"/>
        <v>3.9083557951482169E-2</v>
      </c>
      <c r="T120" s="13">
        <f t="shared" si="8"/>
        <v>1.6747944894257571E-6</v>
      </c>
      <c r="U120" s="53">
        <f t="shared" si="9"/>
        <v>1.0720516704158585E-3</v>
      </c>
      <c r="V120" s="53">
        <f t="shared" si="10"/>
        <v>3.7937409689399845E-3</v>
      </c>
      <c r="W120" s="53">
        <f t="shared" si="11"/>
        <v>2.008234316389133E-7</v>
      </c>
      <c r="X120" s="95">
        <f t="shared" si="12"/>
        <v>0.35370963711279785</v>
      </c>
      <c r="Z120" s="139"/>
      <c r="AS120" s="114"/>
      <c r="AT120" s="114"/>
    </row>
    <row r="121" spans="1:46" x14ac:dyDescent="0.2">
      <c r="A121" s="43">
        <v>15595.158203125</v>
      </c>
      <c r="B121" s="139">
        <v>0.98118487645132479</v>
      </c>
      <c r="C121" s="139">
        <f t="shared" si="1"/>
        <v>1.8815123548675206E-2</v>
      </c>
      <c r="D121" s="49">
        <f t="shared" si="2"/>
        <v>3.1557011015183045E-3</v>
      </c>
      <c r="E121" s="42">
        <f>(2*Table!$AC$16*0.147)/A121</f>
        <v>5.8771500789801248E-3</v>
      </c>
      <c r="F121" s="42">
        <f t="shared" si="3"/>
        <v>1.175430015796025E-2</v>
      </c>
      <c r="G121" s="43">
        <f>IF((('Raw Data'!C121)/('Raw Data'!C$136)*100)&lt;0,0,('Raw Data'!C121)/('Raw Data'!C$136)*100)</f>
        <v>98.118487645132475</v>
      </c>
      <c r="H121" s="43">
        <f t="shared" si="4"/>
        <v>0.31557011015182468</v>
      </c>
      <c r="I121" s="21">
        <f t="shared" si="5"/>
        <v>3.778835816051318E-2</v>
      </c>
      <c r="J121" s="42">
        <f>'Raw Data'!F121/I121</f>
        <v>8.3509875928291691E-2</v>
      </c>
      <c r="K121" s="143">
        <f t="shared" si="6"/>
        <v>33.866440336495025</v>
      </c>
      <c r="L121" s="43">
        <f>A121*Table!$AC$9/$AC$16</f>
        <v>3501.6972041611184</v>
      </c>
      <c r="M121" s="43">
        <f>A121*Table!$AD$9/$AC$16</f>
        <v>1200.5818985695264</v>
      </c>
      <c r="N121" s="43">
        <f>ABS(A121*Table!$AE$9/$AC$16)</f>
        <v>1516.2793675822363</v>
      </c>
      <c r="O121" s="43">
        <f>($L121*(Table!$AC$10/Table!$AC$9)/(Table!$AC$12-Table!$AC$14))</f>
        <v>7511.1480140736139</v>
      </c>
      <c r="P121" s="43">
        <f>ROUND(($N121*(Table!$AE$10/Table!$AE$9)/(Table!$AC$12-Table!$AC$13)),2)</f>
        <v>12448.93</v>
      </c>
      <c r="Q121" s="43">
        <f>'Raw Data'!C121</f>
        <v>1.6478999999999999</v>
      </c>
      <c r="R121" s="43">
        <f>'Raw Data'!C121/'Raw Data'!I$30*100</f>
        <v>15.375037358472882</v>
      </c>
      <c r="S121" s="13">
        <f t="shared" si="7"/>
        <v>3.5714285714285671E-2</v>
      </c>
      <c r="T121" s="13">
        <f t="shared" si="8"/>
        <v>1.2388432431009733E-6</v>
      </c>
      <c r="U121" s="53">
        <f t="shared" si="9"/>
        <v>9.8588530864611489E-4</v>
      </c>
      <c r="V121" s="53">
        <f t="shared" si="10"/>
        <v>3.2925572079357136E-3</v>
      </c>
      <c r="W121" s="53">
        <f t="shared" si="11"/>
        <v>1.5420041540560735E-7</v>
      </c>
      <c r="X121" s="95">
        <f t="shared" si="12"/>
        <v>0.35370979131321323</v>
      </c>
      <c r="Z121" s="139"/>
      <c r="AS121" s="114"/>
      <c r="AT121" s="114"/>
    </row>
    <row r="122" spans="1:46" x14ac:dyDescent="0.2">
      <c r="A122" s="43">
        <v>17095.025390625</v>
      </c>
      <c r="B122" s="139">
        <v>0.9838642453111045</v>
      </c>
      <c r="C122" s="139">
        <f t="shared" si="1"/>
        <v>1.6135754688895498E-2</v>
      </c>
      <c r="D122" s="49">
        <f t="shared" si="2"/>
        <v>2.6793688597797072E-3</v>
      </c>
      <c r="E122" s="42">
        <f>(2*Table!$AC$16*0.147)/A122</f>
        <v>5.3615062376840784E-3</v>
      </c>
      <c r="F122" s="42">
        <f t="shared" si="3"/>
        <v>1.0723012475368157E-2</v>
      </c>
      <c r="G122" s="43">
        <f>IF((('Raw Data'!C122)/('Raw Data'!C$136)*100)&lt;0,0,('Raw Data'!C122)/('Raw Data'!C$136)*100)</f>
        <v>98.38642453111045</v>
      </c>
      <c r="H122" s="43">
        <f t="shared" si="4"/>
        <v>0.26793688597797427</v>
      </c>
      <c r="I122" s="21">
        <f t="shared" si="5"/>
        <v>3.9879965413660567E-2</v>
      </c>
      <c r="J122" s="42">
        <f>'Raw Data'!F122/I122</f>
        <v>6.7185837098592632E-2</v>
      </c>
      <c r="K122" s="143">
        <f t="shared" si="6"/>
        <v>37.123551419084556</v>
      </c>
      <c r="L122" s="43">
        <f>A122*Table!$AC$9/$AC$16</f>
        <v>3838.4735721000679</v>
      </c>
      <c r="M122" s="43">
        <f>A122*Table!$AD$9/$AC$16</f>
        <v>1316.0480818628803</v>
      </c>
      <c r="N122" s="43">
        <f>ABS(A122*Table!$AE$9/$AC$16)</f>
        <v>1662.1078125969291</v>
      </c>
      <c r="O122" s="43">
        <f>($L122*(Table!$AC$10/Table!$AC$9)/(Table!$AC$12-Table!$AC$14))</f>
        <v>8233.5340456886934</v>
      </c>
      <c r="P122" s="43">
        <f>ROUND(($N122*(Table!$AE$10/Table!$AE$9)/(Table!$AC$12-Table!$AC$13)),2)</f>
        <v>13646.21</v>
      </c>
      <c r="Q122" s="43">
        <f>'Raw Data'!C122</f>
        <v>1.6524000000000001</v>
      </c>
      <c r="R122" s="43">
        <f>'Raw Data'!C122/'Raw Data'!I$30*100</f>
        <v>15.41702271444905</v>
      </c>
      <c r="S122" s="13">
        <f t="shared" si="7"/>
        <v>3.0323450134771019E-2</v>
      </c>
      <c r="T122" s="13">
        <f t="shared" si="8"/>
        <v>9.3079790763894721E-7</v>
      </c>
      <c r="U122" s="53">
        <f t="shared" si="9"/>
        <v>9.0184263329049072E-4</v>
      </c>
      <c r="V122" s="53">
        <f t="shared" si="10"/>
        <v>2.8320375957474591E-3</v>
      </c>
      <c r="W122" s="53">
        <f t="shared" si="11"/>
        <v>1.0895878631676577E-7</v>
      </c>
      <c r="X122" s="95">
        <f t="shared" si="12"/>
        <v>0.35370990027199956</v>
      </c>
      <c r="Z122" s="139"/>
      <c r="AS122" s="114"/>
      <c r="AT122" s="114"/>
    </row>
    <row r="123" spans="1:46" x14ac:dyDescent="0.2">
      <c r="A123" s="43">
        <v>18694.2890625</v>
      </c>
      <c r="B123" s="139">
        <v>0.98636498958023222</v>
      </c>
      <c r="C123" s="139">
        <f t="shared" si="1"/>
        <v>1.3635010419767779E-2</v>
      </c>
      <c r="D123" s="49">
        <f t="shared" si="2"/>
        <v>2.5007442691277193E-3</v>
      </c>
      <c r="E123" s="42">
        <f>(2*Table!$AC$16*0.147)/A123</f>
        <v>4.9028387738509985E-3</v>
      </c>
      <c r="F123" s="42">
        <f t="shared" si="3"/>
        <v>9.8056775477019971E-3</v>
      </c>
      <c r="G123" s="43">
        <f>IF((('Raw Data'!C123)/('Raw Data'!C$136)*100)&lt;0,0,('Raw Data'!C123)/('Raw Data'!C$136)*100)</f>
        <v>98.636498958023225</v>
      </c>
      <c r="H123" s="43">
        <f t="shared" si="4"/>
        <v>0.25007442691277504</v>
      </c>
      <c r="I123" s="21">
        <f t="shared" si="5"/>
        <v>3.8839203556763291E-2</v>
      </c>
      <c r="J123" s="42">
        <f>'Raw Data'!F123/I123</f>
        <v>6.4387115082648258E-2</v>
      </c>
      <c r="K123" s="143">
        <f t="shared" si="6"/>
        <v>40.596511873889412</v>
      </c>
      <c r="L123" s="43">
        <f>A123*Table!$AC$9/$AC$16</f>
        <v>4197.5681741284689</v>
      </c>
      <c r="M123" s="43">
        <f>A123*Table!$AD$9/$AC$16</f>
        <v>1439.1662311297609</v>
      </c>
      <c r="N123" s="43">
        <f>ABS(A123*Table!$AE$9/$AC$16)</f>
        <v>1817.6003364561584</v>
      </c>
      <c r="O123" s="43">
        <f>($L123*(Table!$AC$10/Table!$AC$9)/(Table!$AC$12-Table!$AC$14))</f>
        <v>9003.7927372983049</v>
      </c>
      <c r="P123" s="43">
        <f>ROUND(($N123*(Table!$AE$10/Table!$AE$9)/(Table!$AC$12-Table!$AC$13)),2)</f>
        <v>14922.83</v>
      </c>
      <c r="Q123" s="43">
        <f>'Raw Data'!C123</f>
        <v>1.6566000000000001</v>
      </c>
      <c r="R123" s="43">
        <f>'Raw Data'!C123/'Raw Data'!I$30*100</f>
        <v>15.456209046693475</v>
      </c>
      <c r="S123" s="13">
        <f t="shared" si="7"/>
        <v>2.8301886792452866E-2</v>
      </c>
      <c r="T123" s="13">
        <f t="shared" si="8"/>
        <v>6.9037657135506691E-7</v>
      </c>
      <c r="U123" s="53">
        <f t="shared" si="9"/>
        <v>8.2678774223610434E-4</v>
      </c>
      <c r="V123" s="53">
        <f t="shared" si="10"/>
        <v>2.4450412989931495E-3</v>
      </c>
      <c r="W123" s="53">
        <f t="shared" si="11"/>
        <v>8.5039485998974495E-8</v>
      </c>
      <c r="X123" s="95">
        <f t="shared" si="12"/>
        <v>0.35370998531148556</v>
      </c>
      <c r="Z123" s="139"/>
      <c r="AS123" s="114"/>
      <c r="AT123" s="114"/>
    </row>
    <row r="124" spans="1:46" x14ac:dyDescent="0.2">
      <c r="A124" s="43">
        <v>20392.330078125</v>
      </c>
      <c r="B124" s="139">
        <v>0.98892527537957731</v>
      </c>
      <c r="C124" s="139">
        <f t="shared" si="1"/>
        <v>1.1074724620422693E-2</v>
      </c>
      <c r="D124" s="49">
        <f t="shared" si="2"/>
        <v>2.5602857993450856E-3</v>
      </c>
      <c r="E124" s="42">
        <f>(2*Table!$AC$16*0.147)/A124</f>
        <v>4.4945861955972711E-3</v>
      </c>
      <c r="F124" s="42">
        <f t="shared" si="3"/>
        <v>8.9891723911945422E-3</v>
      </c>
      <c r="G124" s="43">
        <f>IF((('Raw Data'!C124)/('Raw Data'!C$136)*100)&lt;0,0,('Raw Data'!C124)/('Raw Data'!C$136)*100)</f>
        <v>98.892527537957733</v>
      </c>
      <c r="H124" s="43">
        <f t="shared" si="4"/>
        <v>0.25602857993450812</v>
      </c>
      <c r="I124" s="21">
        <f t="shared" si="5"/>
        <v>3.7757898444407356E-2</v>
      </c>
      <c r="J124" s="42">
        <f>'Raw Data'!F124/I124</f>
        <v>6.7807952900628438E-2</v>
      </c>
      <c r="K124" s="143">
        <f t="shared" si="6"/>
        <v>44.283977175335473</v>
      </c>
      <c r="L124" s="43">
        <f>A124*Table!$AC$9/$AC$16</f>
        <v>4578.8419899832825</v>
      </c>
      <c r="M124" s="43">
        <f>A124*Table!$AD$9/$AC$16</f>
        <v>1569.8886822799827</v>
      </c>
      <c r="N124" s="43">
        <f>ABS(A124*Table!$AE$9/$AC$16)</f>
        <v>1982.6967416202078</v>
      </c>
      <c r="O124" s="43">
        <f>($L124*(Table!$AC$10/Table!$AC$9)/(Table!$AC$12-Table!$AC$14))</f>
        <v>9821.6258901400324</v>
      </c>
      <c r="P124" s="43">
        <f>ROUND(($N124*(Table!$AE$10/Table!$AE$9)/(Table!$AC$12-Table!$AC$13)),2)</f>
        <v>16278.3</v>
      </c>
      <c r="Q124" s="43">
        <f>'Raw Data'!C124</f>
        <v>1.6609</v>
      </c>
      <c r="R124" s="43">
        <f>'Raw Data'!C124/'Raw Data'!I$30*100</f>
        <v>15.496328386848479</v>
      </c>
      <c r="S124" s="13">
        <f t="shared" si="7"/>
        <v>2.8975741239892668E-2</v>
      </c>
      <c r="T124" s="13">
        <f t="shared" si="8"/>
        <v>4.8351664072576739E-7</v>
      </c>
      <c r="U124" s="53">
        <f t="shared" si="9"/>
        <v>7.5990964874933552E-4</v>
      </c>
      <c r="V124" s="53">
        <f t="shared" si="10"/>
        <v>2.1200268836027566E-3</v>
      </c>
      <c r="W124" s="53">
        <f t="shared" si="11"/>
        <v>7.3168473550801656E-8</v>
      </c>
      <c r="X124" s="95">
        <f t="shared" si="12"/>
        <v>0.35371005847995912</v>
      </c>
      <c r="Z124" s="139"/>
      <c r="AS124" s="114"/>
      <c r="AT124" s="114"/>
    </row>
    <row r="125" spans="1:46" x14ac:dyDescent="0.2">
      <c r="A125" s="43">
        <v>22294.09765625</v>
      </c>
      <c r="B125" s="139">
        <v>0.99100922893718379</v>
      </c>
      <c r="C125" s="139">
        <f t="shared" si="1"/>
        <v>8.9907710628162052E-3</v>
      </c>
      <c r="D125" s="49">
        <f t="shared" si="2"/>
        <v>2.0839535576064883E-3</v>
      </c>
      <c r="E125" s="42">
        <f>(2*Table!$AC$16*0.147)/A125</f>
        <v>4.1111816534771814E-3</v>
      </c>
      <c r="F125" s="42">
        <f t="shared" si="3"/>
        <v>8.2223633069543629E-3</v>
      </c>
      <c r="G125" s="43">
        <f>IF((('Raw Data'!C125)/('Raw Data'!C$136)*100)&lt;0,0,('Raw Data'!C125)/('Raw Data'!C$136)*100)</f>
        <v>99.100922893718376</v>
      </c>
      <c r="H125" s="43">
        <f t="shared" si="4"/>
        <v>0.2083953557606435</v>
      </c>
      <c r="I125" s="21">
        <f t="shared" si="5"/>
        <v>3.8723046987918952E-2</v>
      </c>
      <c r="J125" s="42">
        <f>'Raw Data'!F125/I125</f>
        <v>5.3816879602905543E-2</v>
      </c>
      <c r="K125" s="143">
        <f t="shared" si="6"/>
        <v>48.413855011749156</v>
      </c>
      <c r="L125" s="43">
        <f>A125*Table!$AC$9/$AC$16</f>
        <v>5005.8600506240618</v>
      </c>
      <c r="M125" s="43">
        <f>A125*Table!$AD$9/$AC$16</f>
        <v>1716.2948744996784</v>
      </c>
      <c r="N125" s="43">
        <f>ABS(A125*Table!$AE$9/$AC$16)</f>
        <v>2167.6009858150469</v>
      </c>
      <c r="O125" s="43">
        <f>($L125*(Table!$AC$10/Table!$AC$9)/(Table!$AC$12-Table!$AC$14))</f>
        <v>10737.58054616916</v>
      </c>
      <c r="P125" s="43">
        <f>ROUND(($N125*(Table!$AE$10/Table!$AE$9)/(Table!$AC$12-Table!$AC$13)),2)</f>
        <v>17796.400000000001</v>
      </c>
      <c r="Q125" s="43">
        <f>'Raw Data'!C125</f>
        <v>1.6644000000000001</v>
      </c>
      <c r="R125" s="43">
        <f>'Raw Data'!C125/'Raw Data'!I$30*100</f>
        <v>15.528983663718835</v>
      </c>
      <c r="S125" s="13">
        <f t="shared" si="7"/>
        <v>2.3584905660378016E-2</v>
      </c>
      <c r="T125" s="13">
        <f t="shared" si="8"/>
        <v>3.4264295756258889E-7</v>
      </c>
      <c r="U125" s="53">
        <f t="shared" si="9"/>
        <v>6.9655134301277216E-4</v>
      </c>
      <c r="V125" s="53">
        <f t="shared" si="10"/>
        <v>1.8298127320629097E-3</v>
      </c>
      <c r="W125" s="53">
        <f t="shared" si="11"/>
        <v>4.9828462818065568E-8</v>
      </c>
      <c r="X125" s="95">
        <f t="shared" si="12"/>
        <v>0.35371010830842192</v>
      </c>
      <c r="Z125" s="139"/>
      <c r="AS125" s="114"/>
      <c r="AT125" s="114"/>
    </row>
    <row r="126" spans="1:46" x14ac:dyDescent="0.2">
      <c r="A126" s="43">
        <v>24394.755859375</v>
      </c>
      <c r="B126" s="139">
        <v>0.99315272402500743</v>
      </c>
      <c r="C126" s="139">
        <f t="shared" si="1"/>
        <v>6.8472759749925727E-3</v>
      </c>
      <c r="D126" s="49">
        <f t="shared" si="2"/>
        <v>2.1434950878236325E-3</v>
      </c>
      <c r="E126" s="42">
        <f>(2*Table!$AC$16*0.147)/A126</f>
        <v>3.7571634573247935E-3</v>
      </c>
      <c r="F126" s="42">
        <f t="shared" si="3"/>
        <v>7.514326914649587E-3</v>
      </c>
      <c r="G126" s="43">
        <f>IF((('Raw Data'!C126)/('Raw Data'!C$136)*100)&lt;0,0,('Raw Data'!C126)/('Raw Data'!C$136)*100)</f>
        <v>99.315272402500739</v>
      </c>
      <c r="H126" s="43">
        <f t="shared" si="4"/>
        <v>0.21434950878236236</v>
      </c>
      <c r="I126" s="21">
        <f t="shared" si="5"/>
        <v>3.9106576923974679E-2</v>
      </c>
      <c r="J126" s="42">
        <f>'Raw Data'!F126/I126</f>
        <v>5.4811626494200807E-2</v>
      </c>
      <c r="K126" s="143">
        <f t="shared" si="6"/>
        <v>52.975643662873338</v>
      </c>
      <c r="L126" s="43">
        <f>A126*Table!$AC$9/$AC$16</f>
        <v>5477.5365069300287</v>
      </c>
      <c r="M126" s="43">
        <f>A126*Table!$AD$9/$AC$16</f>
        <v>1878.0125166617242</v>
      </c>
      <c r="N126" s="43">
        <f>ABS(A126*Table!$AE$9/$AC$16)</f>
        <v>2371.8428825790411</v>
      </c>
      <c r="O126" s="43">
        <f>($L126*(Table!$AC$10/Table!$AC$9)/(Table!$AC$12-Table!$AC$14))</f>
        <v>11749.327556692469</v>
      </c>
      <c r="P126" s="43">
        <f>ROUND(($N126*(Table!$AE$10/Table!$AE$9)/(Table!$AC$12-Table!$AC$13)),2)</f>
        <v>19473.259999999998</v>
      </c>
      <c r="Q126" s="43">
        <f>'Raw Data'!C126</f>
        <v>1.6679999999999999</v>
      </c>
      <c r="R126" s="43">
        <f>'Raw Data'!C126/'Raw Data'!I$30*100</f>
        <v>15.562571948499768</v>
      </c>
      <c r="S126" s="13">
        <f t="shared" si="7"/>
        <v>2.4258760107815306E-2</v>
      </c>
      <c r="T126" s="13">
        <f t="shared" si="8"/>
        <v>2.2162462287589335E-7</v>
      </c>
      <c r="U126" s="53">
        <f t="shared" si="9"/>
        <v>6.37947435842815E-4</v>
      </c>
      <c r="V126" s="53">
        <f t="shared" si="10"/>
        <v>1.5771178789054738E-3</v>
      </c>
      <c r="W126" s="53">
        <f t="shared" si="11"/>
        <v>4.2805422912905595E-8</v>
      </c>
      <c r="X126" s="95">
        <f t="shared" si="12"/>
        <v>0.35371015111384485</v>
      </c>
      <c r="Z126" s="139"/>
      <c r="AS126" s="114"/>
      <c r="AT126" s="114"/>
    </row>
    <row r="127" spans="1:46" x14ac:dyDescent="0.2">
      <c r="A127" s="43">
        <v>26695.763671875</v>
      </c>
      <c r="B127" s="139">
        <v>0.99511759452217918</v>
      </c>
      <c r="C127" s="139">
        <f t="shared" si="1"/>
        <v>4.882405477820817E-3</v>
      </c>
      <c r="D127" s="49">
        <f t="shared" si="2"/>
        <v>1.9648704971717557E-3</v>
      </c>
      <c r="E127" s="42">
        <f>(2*Table!$AC$16*0.147)/A127</f>
        <v>3.4333194731479342E-3</v>
      </c>
      <c r="F127" s="42">
        <f t="shared" si="3"/>
        <v>6.8666389462958685E-3</v>
      </c>
      <c r="G127" s="43">
        <f>IF((('Raw Data'!C127)/('Raw Data'!C$136)*100)&lt;0,0,('Raw Data'!C127)/('Raw Data'!C$136)*100)</f>
        <v>99.511759452217916</v>
      </c>
      <c r="H127" s="43">
        <f t="shared" si="4"/>
        <v>0.19648704971717734</v>
      </c>
      <c r="I127" s="21">
        <f t="shared" si="5"/>
        <v>3.9145872920682834E-2</v>
      </c>
      <c r="J127" s="42">
        <f>'Raw Data'!F127/I127</f>
        <v>5.0193554277176707E-2</v>
      </c>
      <c r="K127" s="143">
        <f t="shared" si="6"/>
        <v>57.972511458688629</v>
      </c>
      <c r="L127" s="43">
        <f>A127*Table!$AC$9/$AC$16</f>
        <v>5994.1989555462651</v>
      </c>
      <c r="M127" s="43">
        <f>A127*Table!$AD$9/$AC$16</f>
        <v>2055.1539276158624</v>
      </c>
      <c r="N127" s="43">
        <f>ABS(A127*Table!$AE$9/$AC$16)</f>
        <v>2595.5642854206076</v>
      </c>
      <c r="O127" s="43">
        <f>($L127*(Table!$AC$10/Table!$AC$9)/(Table!$AC$12-Table!$AC$14))</f>
        <v>12857.569617216357</v>
      </c>
      <c r="P127" s="43">
        <f>ROUND(($N127*(Table!$AE$10/Table!$AE$9)/(Table!$AC$12-Table!$AC$13)),2)</f>
        <v>21310.05</v>
      </c>
      <c r="Q127" s="43">
        <f>'Raw Data'!C127</f>
        <v>1.6713</v>
      </c>
      <c r="R127" s="43">
        <f>'Raw Data'!C127/'Raw Data'!I$30*100</f>
        <v>15.593361209548956</v>
      </c>
      <c r="S127" s="13">
        <f t="shared" si="7"/>
        <v>2.2237196765498412E-2</v>
      </c>
      <c r="T127" s="13">
        <f t="shared" si="8"/>
        <v>1.2899052725945381E-7</v>
      </c>
      <c r="U127" s="53">
        <f t="shared" si="9"/>
        <v>5.8411369688506618E-4</v>
      </c>
      <c r="V127" s="53">
        <f t="shared" si="10"/>
        <v>1.3586887592606162E-3</v>
      </c>
      <c r="W127" s="53">
        <f t="shared" si="11"/>
        <v>3.2765627186235719E-8</v>
      </c>
      <c r="X127" s="95">
        <f t="shared" si="12"/>
        <v>0.35371018387947206</v>
      </c>
      <c r="Z127" s="139"/>
      <c r="AS127" s="114"/>
      <c r="AT127" s="114"/>
    </row>
    <row r="128" spans="1:46" x14ac:dyDescent="0.2">
      <c r="A128" s="43">
        <v>29295.09375</v>
      </c>
      <c r="B128" s="139">
        <v>0.99553438523370041</v>
      </c>
      <c r="C128" s="139">
        <f t="shared" si="1"/>
        <v>4.465614766299586E-3</v>
      </c>
      <c r="D128" s="49">
        <f t="shared" si="2"/>
        <v>4.1679071152123104E-4</v>
      </c>
      <c r="E128" s="42">
        <f>(2*Table!$AC$16*0.147)/A128</f>
        <v>3.1286838010273865E-3</v>
      </c>
      <c r="F128" s="42">
        <f t="shared" si="3"/>
        <v>6.257367602054773E-3</v>
      </c>
      <c r="G128" s="43">
        <f>IF((('Raw Data'!C128)/('Raw Data'!C$136)*100)&lt;0,0,('Raw Data'!C128)/('Raw Data'!C$136)*100)</f>
        <v>99.553438523370048</v>
      </c>
      <c r="H128" s="43">
        <f t="shared" si="4"/>
        <v>4.1679071152131542E-2</v>
      </c>
      <c r="I128" s="21">
        <f t="shared" si="5"/>
        <v>4.0352543163824084E-2</v>
      </c>
      <c r="J128" s="42">
        <f>'Raw Data'!F128/I128</f>
        <v>1.0328734668076199E-2</v>
      </c>
      <c r="K128" s="143">
        <f t="shared" si="6"/>
        <v>63.617215786730497</v>
      </c>
      <c r="L128" s="43">
        <f>A128*Table!$AC$9/$AC$16</f>
        <v>6577.8459278122027</v>
      </c>
      <c r="M128" s="43">
        <f>A128*Table!$AD$9/$AC$16</f>
        <v>2255.2614609641837</v>
      </c>
      <c r="N128" s="43">
        <f>ABS(A128*Table!$AE$9/$AC$16)</f>
        <v>2848.2908378326943</v>
      </c>
      <c r="O128" s="43">
        <f>($L128*(Table!$AC$10/Table!$AC$9)/(Table!$AC$12-Table!$AC$14))</f>
        <v>14109.4936246508</v>
      </c>
      <c r="P128" s="43">
        <f>ROUND(($N128*(Table!$AE$10/Table!$AE$9)/(Table!$AC$12-Table!$AC$13)),2)</f>
        <v>23384.98</v>
      </c>
      <c r="Q128" s="43">
        <f>'Raw Data'!C128</f>
        <v>1.6719999999999999</v>
      </c>
      <c r="R128" s="43">
        <f>'Raw Data'!C128/'Raw Data'!I$30*100</f>
        <v>15.599892264923026</v>
      </c>
      <c r="S128" s="13">
        <f t="shared" si="7"/>
        <v>4.7169811320748496E-3</v>
      </c>
      <c r="T128" s="13">
        <f t="shared" si="8"/>
        <v>1.1267316779584036E-7</v>
      </c>
      <c r="U128" s="53">
        <f t="shared" si="9"/>
        <v>5.3250869917161557E-4</v>
      </c>
      <c r="V128" s="53">
        <f t="shared" si="10"/>
        <v>1.1619604792950343E-3</v>
      </c>
      <c r="W128" s="53">
        <f t="shared" si="11"/>
        <v>5.771616937977526E-9</v>
      </c>
      <c r="X128" s="95">
        <f t="shared" si="12"/>
        <v>0.35371018965108902</v>
      </c>
      <c r="Z128" s="139"/>
      <c r="AS128" s="114"/>
      <c r="AT128" s="114"/>
    </row>
    <row r="129" spans="1:46" x14ac:dyDescent="0.2">
      <c r="A129" s="43">
        <v>31989.87109375</v>
      </c>
      <c r="B129" s="139">
        <v>0.99732063114022029</v>
      </c>
      <c r="C129" s="139">
        <f t="shared" si="1"/>
        <v>2.6793688597797072E-3</v>
      </c>
      <c r="D129" s="49">
        <f t="shared" si="2"/>
        <v>1.7862459065198788E-3</v>
      </c>
      <c r="E129" s="42">
        <f>(2*Table!$AC$16*0.147)/A129</f>
        <v>2.8651283087886745E-3</v>
      </c>
      <c r="F129" s="42">
        <f t="shared" si="3"/>
        <v>5.730256617577349E-3</v>
      </c>
      <c r="G129" s="43">
        <f>IF((('Raw Data'!C129)/('Raw Data'!C$136)*100)&lt;0,0,('Raw Data'!C129)/('Raw Data'!C$136)*100)</f>
        <v>99.732063114022026</v>
      </c>
      <c r="H129" s="43">
        <f t="shared" si="4"/>
        <v>0.17862459065197811</v>
      </c>
      <c r="I129" s="21">
        <f t="shared" si="5"/>
        <v>3.8217597883812626E-2</v>
      </c>
      <c r="J129" s="42">
        <f>'Raw Data'!F129/I129</f>
        <v>4.6738832512455156E-2</v>
      </c>
      <c r="K129" s="143">
        <f t="shared" si="6"/>
        <v>69.469193364871415</v>
      </c>
      <c r="L129" s="43">
        <f>A129*Table!$AC$9/$AC$16</f>
        <v>7182.9243866222732</v>
      </c>
      <c r="M129" s="43">
        <f>A129*Table!$AD$9/$AC$16</f>
        <v>2462.7169325562081</v>
      </c>
      <c r="N129" s="43">
        <f>ABS(A129*Table!$AE$9/$AC$16)</f>
        <v>3110.2974961388231</v>
      </c>
      <c r="O129" s="43">
        <f>($L129*(Table!$AC$10/Table!$AC$9)/(Table!$AC$12-Table!$AC$14))</f>
        <v>15407.388216692994</v>
      </c>
      <c r="P129" s="43">
        <f>ROUND(($N129*(Table!$AE$10/Table!$AE$9)/(Table!$AC$12-Table!$AC$13)),2)</f>
        <v>25536.1</v>
      </c>
      <c r="Q129" s="43">
        <f>'Raw Data'!C129</f>
        <v>1.675</v>
      </c>
      <c r="R129" s="43">
        <f>'Raw Data'!C129/'Raw Data'!I$30*100</f>
        <v>15.627882502240473</v>
      </c>
      <c r="S129" s="13">
        <f t="shared" si="7"/>
        <v>2.0215633423181514E-2</v>
      </c>
      <c r="T129" s="13">
        <f t="shared" si="8"/>
        <v>5.4027235019127318E-8</v>
      </c>
      <c r="U129" s="53">
        <f t="shared" si="9"/>
        <v>4.8852596049671988E-4</v>
      </c>
      <c r="V129" s="53">
        <f t="shared" si="10"/>
        <v>1.0043426536560998E-3</v>
      </c>
      <c r="W129" s="53">
        <f t="shared" si="11"/>
        <v>2.0743666338837498E-8</v>
      </c>
      <c r="X129" s="95">
        <f t="shared" si="12"/>
        <v>0.35371021039475536</v>
      </c>
      <c r="Z129" s="139"/>
      <c r="AS129" s="114"/>
      <c r="AT129" s="114"/>
    </row>
    <row r="130" spans="1:46" x14ac:dyDescent="0.2">
      <c r="A130" s="43">
        <v>34986.37890625</v>
      </c>
      <c r="B130" s="139">
        <v>0.99785650491217626</v>
      </c>
      <c r="C130" s="139">
        <f t="shared" si="1"/>
        <v>2.1434950878237435E-3</v>
      </c>
      <c r="D130" s="49">
        <f t="shared" si="2"/>
        <v>5.3587377195596364E-4</v>
      </c>
      <c r="E130" s="42">
        <f>(2*Table!$AC$16*0.147)/A130</f>
        <v>2.6197362553810988E-3</v>
      </c>
      <c r="F130" s="42">
        <f t="shared" si="3"/>
        <v>5.2394725107621975E-3</v>
      </c>
      <c r="G130" s="43">
        <f>IF((('Raw Data'!C130)/('Raw Data'!C$136)*100)&lt;0,0,('Raw Data'!C130)/('Raw Data'!C$136)*100)</f>
        <v>99.785650491217623</v>
      </c>
      <c r="H130" s="43">
        <f t="shared" si="4"/>
        <v>5.3587377195597696E-2</v>
      </c>
      <c r="I130" s="21">
        <f t="shared" si="5"/>
        <v>3.8886505229734691E-2</v>
      </c>
      <c r="J130" s="42">
        <f>'Raw Data'!F130/I130</f>
        <v>1.3780455939409181E-2</v>
      </c>
      <c r="K130" s="143">
        <f t="shared" si="6"/>
        <v>75.976408728004927</v>
      </c>
      <c r="L130" s="43">
        <f>A130*Table!$AC$9/$AC$16</f>
        <v>7855.7526383533532</v>
      </c>
      <c r="M130" s="43">
        <f>A130*Table!$AD$9/$AC$16</f>
        <v>2693.4009045782923</v>
      </c>
      <c r="N130" s="43">
        <f>ABS(A130*Table!$AE$9/$AC$16)</f>
        <v>3401.6406753303163</v>
      </c>
      <c r="O130" s="43">
        <f>($L130*(Table!$AC$10/Table!$AC$9)/(Table!$AC$12-Table!$AC$14))</f>
        <v>16850.606259874203</v>
      </c>
      <c r="P130" s="43">
        <f>ROUND(($N130*(Table!$AE$10/Table!$AE$9)/(Table!$AC$12-Table!$AC$13)),2)</f>
        <v>27928.080000000002</v>
      </c>
      <c r="Q130" s="43">
        <f>'Raw Data'!C130</f>
        <v>1.6758999999999999</v>
      </c>
      <c r="R130" s="43">
        <f>'Raw Data'!C130/'Raw Data'!I$30*100</f>
        <v>15.636279573435708</v>
      </c>
      <c r="S130" s="13">
        <f t="shared" si="7"/>
        <v>6.0646900269544545E-3</v>
      </c>
      <c r="T130" s="13">
        <f t="shared" si="8"/>
        <v>3.9318133748800221E-8</v>
      </c>
      <c r="U130" s="53">
        <f t="shared" si="9"/>
        <v>4.4692477650616272E-4</v>
      </c>
      <c r="V130" s="53">
        <f t="shared" si="10"/>
        <v>8.6401109535876074E-4</v>
      </c>
      <c r="W130" s="53">
        <f t="shared" si="11"/>
        <v>5.2027596386309342E-9</v>
      </c>
      <c r="X130" s="95">
        <f t="shared" si="12"/>
        <v>0.35371021559751498</v>
      </c>
      <c r="Z130" s="139"/>
      <c r="AS130" s="114"/>
      <c r="AT130" s="114"/>
    </row>
    <row r="131" spans="1:46" x14ac:dyDescent="0.2">
      <c r="A131" s="43">
        <v>38281.48046875</v>
      </c>
      <c r="B131" s="139">
        <v>0.99863054480500146</v>
      </c>
      <c r="C131" s="139">
        <f t="shared" si="1"/>
        <v>1.3694551949985367E-3</v>
      </c>
      <c r="D131" s="49">
        <f t="shared" si="2"/>
        <v>7.740398928252068E-4</v>
      </c>
      <c r="E131" s="42">
        <f>(2*Table!$AC$16*0.147)/A131</f>
        <v>2.3942408742531176E-3</v>
      </c>
      <c r="F131" s="42">
        <f t="shared" si="3"/>
        <v>4.7884817485062351E-3</v>
      </c>
      <c r="G131" s="43">
        <f>IF((('Raw Data'!C131)/('Raw Data'!C$136)*100)&lt;0,0,('Raw Data'!C131)/('Raw Data'!C$136)*100)</f>
        <v>99.863054480500153</v>
      </c>
      <c r="H131" s="43">
        <f t="shared" si="4"/>
        <v>7.7403989282530006E-2</v>
      </c>
      <c r="I131" s="21">
        <f t="shared" si="5"/>
        <v>3.9089729716668575E-2</v>
      </c>
      <c r="J131" s="42">
        <f>'Raw Data'!F131/I131</f>
        <v>1.9801617929712675E-2</v>
      </c>
      <c r="K131" s="143">
        <f t="shared" si="6"/>
        <v>83.132050178742915</v>
      </c>
      <c r="L131" s="43">
        <f>A131*Table!$AC$9/$AC$16</f>
        <v>8595.6263721460036</v>
      </c>
      <c r="M131" s="43">
        <f>A131*Table!$AD$9/$AC$16</f>
        <v>2947.0718990214868</v>
      </c>
      <c r="N131" s="43">
        <f>ABS(A131*Table!$AE$9/$AC$16)</f>
        <v>3722.0153998589562</v>
      </c>
      <c r="O131" s="43">
        <f>($L131*(Table!$AC$10/Table!$AC$9)/(Table!$AC$12-Table!$AC$14))</f>
        <v>18437.637005890185</v>
      </c>
      <c r="P131" s="43">
        <f>ROUND(($N131*(Table!$AE$10/Table!$AE$9)/(Table!$AC$12-Table!$AC$13)),2)</f>
        <v>30558.42</v>
      </c>
      <c r="Q131" s="43">
        <f>'Raw Data'!C131</f>
        <v>1.6772</v>
      </c>
      <c r="R131" s="43">
        <f>'Raw Data'!C131/'Raw Data'!I$30*100</f>
        <v>15.648408676273268</v>
      </c>
      <c r="S131" s="13">
        <f t="shared" si="7"/>
        <v>8.7601078167111532E-3</v>
      </c>
      <c r="T131" s="13">
        <f t="shared" si="8"/>
        <v>2.15718456431091E-8</v>
      </c>
      <c r="U131" s="53">
        <f t="shared" si="9"/>
        <v>4.0877229628168122E-4</v>
      </c>
      <c r="V131" s="53">
        <f t="shared" si="10"/>
        <v>7.4299866865533708E-4</v>
      </c>
      <c r="W131" s="53">
        <f t="shared" si="11"/>
        <v>6.2770436094400775E-9</v>
      </c>
      <c r="X131" s="95">
        <f t="shared" si="12"/>
        <v>0.35371022187455858</v>
      </c>
      <c r="Z131" s="139"/>
      <c r="AS131" s="114"/>
      <c r="AT131" s="114"/>
    </row>
    <row r="132" spans="1:46" x14ac:dyDescent="0.2">
      <c r="A132" s="43">
        <v>41877.9609375</v>
      </c>
      <c r="B132" s="139">
        <v>0.99910687704674006</v>
      </c>
      <c r="C132" s="139">
        <f t="shared" si="1"/>
        <v>8.931229532599394E-4</v>
      </c>
      <c r="D132" s="49">
        <f t="shared" si="2"/>
        <v>4.7633224173859734E-4</v>
      </c>
      <c r="E132" s="42">
        <f>(2*Table!$AC$16*0.147)/A132</f>
        <v>2.188623400312938E-3</v>
      </c>
      <c r="F132" s="42">
        <f t="shared" si="3"/>
        <v>4.3772468006258759E-3</v>
      </c>
      <c r="G132" s="43">
        <f>IF((('Raw Data'!C132)/('Raw Data'!C$136)*100)&lt;0,0,('Raw Data'!C132)/('Raw Data'!C$136)*100)</f>
        <v>99.910687704674004</v>
      </c>
      <c r="H132" s="43">
        <f t="shared" si="4"/>
        <v>4.7633224173850408E-2</v>
      </c>
      <c r="I132" s="21">
        <f t="shared" si="5"/>
        <v>3.8996802465525615E-2</v>
      </c>
      <c r="J132" s="42">
        <f>'Raw Data'!F132/I132</f>
        <v>1.2214648679457497E-2</v>
      </c>
      <c r="K132" s="143">
        <f t="shared" si="6"/>
        <v>90.942165961466102</v>
      </c>
      <c r="L132" s="43">
        <f>A132*Table!$AC$9/$AC$16</f>
        <v>9403.1709599090427</v>
      </c>
      <c r="M132" s="43">
        <f>A132*Table!$AD$9/$AC$16</f>
        <v>3223.9443291116713</v>
      </c>
      <c r="N132" s="43">
        <f>ABS(A132*Table!$AE$9/$AC$16)</f>
        <v>4071.6924637046682</v>
      </c>
      <c r="O132" s="43">
        <f>($L132*(Table!$AC$10/Table!$AC$9)/(Table!$AC$12-Table!$AC$14))</f>
        <v>20169.82187882678</v>
      </c>
      <c r="P132" s="43">
        <f>ROUND(($N132*(Table!$AE$10/Table!$AE$9)/(Table!$AC$12-Table!$AC$13)),2)</f>
        <v>33429.33</v>
      </c>
      <c r="Q132" s="43">
        <f>'Raw Data'!C132</f>
        <v>1.6779999999999999</v>
      </c>
      <c r="R132" s="43">
        <f>'Raw Data'!C132/'Raw Data'!I$30*100</f>
        <v>15.655872739557919</v>
      </c>
      <c r="S132" s="13">
        <f t="shared" si="7"/>
        <v>5.3908355795146525E-3</v>
      </c>
      <c r="T132" s="13">
        <f t="shared" si="8"/>
        <v>1.2446264019416731E-8</v>
      </c>
      <c r="U132" s="53">
        <f t="shared" si="9"/>
        <v>3.738451536101111E-4</v>
      </c>
      <c r="V132" s="53">
        <f t="shared" si="10"/>
        <v>6.3884375448961157E-4</v>
      </c>
      <c r="W132" s="53">
        <f t="shared" si="11"/>
        <v>3.2278115824779066E-9</v>
      </c>
      <c r="X132" s="95">
        <f t="shared" si="12"/>
        <v>0.35371022510237016</v>
      </c>
      <c r="Z132" s="139"/>
      <c r="AS132" s="114"/>
      <c r="AT132" s="114"/>
    </row>
    <row r="133" spans="1:46" x14ac:dyDescent="0.2">
      <c r="A133" s="43">
        <v>45774.84375</v>
      </c>
      <c r="B133" s="139">
        <v>0.99946412622804415</v>
      </c>
      <c r="C133" s="139">
        <f t="shared" si="1"/>
        <v>5.3587377195585262E-4</v>
      </c>
      <c r="D133" s="49">
        <f t="shared" si="2"/>
        <v>3.5724918130408678E-4</v>
      </c>
      <c r="E133" s="42">
        <f>(2*Table!$AC$16*0.147)/A133</f>
        <v>2.0023025259415252E-3</v>
      </c>
      <c r="F133" s="42">
        <f t="shared" si="3"/>
        <v>4.0046050518830504E-3</v>
      </c>
      <c r="G133" s="43">
        <f>IF((('Raw Data'!C133)/('Raw Data'!C$136)*100)&lt;0,0,('Raw Data'!C133)/('Raw Data'!C$136)*100)</f>
        <v>99.946412622804417</v>
      </c>
      <c r="H133" s="43">
        <f t="shared" si="4"/>
        <v>3.5724918130412675E-2</v>
      </c>
      <c r="I133" s="21">
        <f t="shared" si="5"/>
        <v>3.8641343066752487E-2</v>
      </c>
      <c r="J133" s="42">
        <f>'Raw Data'!F133/I133</f>
        <v>9.2452578754041448E-3</v>
      </c>
      <c r="K133" s="143">
        <f t="shared" si="6"/>
        <v>99.404635373376195</v>
      </c>
      <c r="L133" s="43">
        <f>A133*Table!$AC$9/$AC$16</f>
        <v>10278.167126779628</v>
      </c>
      <c r="M133" s="43">
        <f>A133*Table!$AD$9/$AC$16</f>
        <v>3523.9430148958727</v>
      </c>
      <c r="N133" s="43">
        <f>ABS(A133*Table!$AE$9/$AC$16)</f>
        <v>4450.5769180666366</v>
      </c>
      <c r="O133" s="43">
        <f>($L133*(Table!$AC$10/Table!$AC$9)/(Table!$AC$12-Table!$AC$14))</f>
        <v>22046.690533632838</v>
      </c>
      <c r="P133" s="43">
        <f>ROUND(($N133*(Table!$AE$10/Table!$AE$9)/(Table!$AC$12-Table!$AC$13)),2)</f>
        <v>36540.04</v>
      </c>
      <c r="Q133" s="43">
        <f>'Raw Data'!C133</f>
        <v>1.6786000000000001</v>
      </c>
      <c r="R133" s="43">
        <f>'Raw Data'!C133/'Raw Data'!I$30*100</f>
        <v>15.661470787021409</v>
      </c>
      <c r="S133" s="13">
        <f t="shared" si="7"/>
        <v>4.0431266846375595E-3</v>
      </c>
      <c r="T133" s="13">
        <f t="shared" si="8"/>
        <v>6.7177875484603078E-9</v>
      </c>
      <c r="U133" s="53">
        <f t="shared" si="9"/>
        <v>3.421414362997451E-4</v>
      </c>
      <c r="V133" s="53">
        <f t="shared" si="10"/>
        <v>5.4993921672335491E-4</v>
      </c>
      <c r="W133" s="53">
        <f t="shared" si="11"/>
        <v>2.0262207237499534E-9</v>
      </c>
      <c r="X133" s="95">
        <f t="shared" si="12"/>
        <v>0.3537102271285909</v>
      </c>
      <c r="Z133" s="139"/>
      <c r="AS133" s="114"/>
      <c r="AT133" s="114"/>
    </row>
    <row r="134" spans="1:46" x14ac:dyDescent="0.2">
      <c r="A134" s="43">
        <v>50072.640625</v>
      </c>
      <c r="B134" s="139">
        <v>0.99988091693956538</v>
      </c>
      <c r="C134" s="139">
        <f t="shared" si="1"/>
        <v>1.1908306043462158E-4</v>
      </c>
      <c r="D134" s="49">
        <f t="shared" si="2"/>
        <v>4.1679071152123104E-4</v>
      </c>
      <c r="E134" s="42">
        <f>(2*Table!$AC$16*0.147)/A134</f>
        <v>1.8304424156820396E-3</v>
      </c>
      <c r="F134" s="42">
        <f t="shared" si="3"/>
        <v>3.6608848313640792E-3</v>
      </c>
      <c r="G134" s="43">
        <f>IF((('Raw Data'!C134)/('Raw Data'!C$136)*100)&lt;0,0,('Raw Data'!C134)/('Raw Data'!C$136)*100)</f>
        <v>99.988091693956534</v>
      </c>
      <c r="H134" s="43">
        <f t="shared" si="4"/>
        <v>4.1679071152117331E-2</v>
      </c>
      <c r="I134" s="21">
        <f t="shared" si="5"/>
        <v>3.8973624371436699E-2</v>
      </c>
      <c r="J134" s="42">
        <f>'Raw Data'!F134/I134</f>
        <v>1.0694173771190035E-2</v>
      </c>
      <c r="K134" s="143">
        <f t="shared" si="6"/>
        <v>108.73772962928417</v>
      </c>
      <c r="L134" s="43">
        <f>A134*Table!$AC$9/$AC$16</f>
        <v>11243.183518740578</v>
      </c>
      <c r="M134" s="43">
        <f>A134*Table!$AD$9/$AC$16</f>
        <v>3854.8057778539128</v>
      </c>
      <c r="N134" s="43">
        <f>ABS(A134*Table!$AE$9/$AC$16)</f>
        <v>4868.4412733199279</v>
      </c>
      <c r="O134" s="43">
        <f>($L134*(Table!$AC$10/Table!$AC$9)/(Table!$AC$12-Table!$AC$14))</f>
        <v>24116.652764351307</v>
      </c>
      <c r="P134" s="43">
        <f>ROUND(($N134*(Table!$AE$10/Table!$AE$9)/(Table!$AC$12-Table!$AC$13)),2)</f>
        <v>39970.78</v>
      </c>
      <c r="Q134" s="43">
        <f>'Raw Data'!C134</f>
        <v>1.6793</v>
      </c>
      <c r="R134" s="43">
        <f>'Raw Data'!C134/'Raw Data'!I$30*100</f>
        <v>15.66800184239548</v>
      </c>
      <c r="S134" s="13">
        <f t="shared" si="7"/>
        <v>4.7169811320748496E-3</v>
      </c>
      <c r="T134" s="13">
        <f t="shared" si="8"/>
        <v>1.1325882454116254E-9</v>
      </c>
      <c r="U134" s="53">
        <f t="shared" si="9"/>
        <v>3.1290544390768246E-4</v>
      </c>
      <c r="V134" s="53">
        <f t="shared" si="10"/>
        <v>4.7284247291461162E-4</v>
      </c>
      <c r="W134" s="53">
        <f t="shared" si="11"/>
        <v>1.9755421209477942E-9</v>
      </c>
      <c r="X134" s="95">
        <f t="shared" si="12"/>
        <v>0.35371022910413302</v>
      </c>
      <c r="Z134" s="139"/>
      <c r="AS134" s="114"/>
      <c r="AT134" s="114"/>
    </row>
    <row r="135" spans="1:46" x14ac:dyDescent="0.2">
      <c r="A135" s="43">
        <v>54763.51953125</v>
      </c>
      <c r="B135" s="139">
        <v>0.99988091693956538</v>
      </c>
      <c r="C135" s="139">
        <f t="shared" si="1"/>
        <v>1.1908306043462158E-4</v>
      </c>
      <c r="D135" s="49">
        <f t="shared" si="2"/>
        <v>0</v>
      </c>
      <c r="E135" s="42">
        <f>(2*Table!$AC$16*0.147)/A135</f>
        <v>1.6736522058795364E-3</v>
      </c>
      <c r="F135" s="42">
        <f t="shared" si="3"/>
        <v>3.3473044117590727E-3</v>
      </c>
      <c r="G135" s="43">
        <f>IF((('Raw Data'!C135)/('Raw Data'!C$136)*100)&lt;0,0,('Raw Data'!C135)/('Raw Data'!C$136)*100)</f>
        <v>99.988091693956534</v>
      </c>
      <c r="H135" s="43">
        <f t="shared" si="4"/>
        <v>0</v>
      </c>
      <c r="I135" s="21">
        <f t="shared" si="5"/>
        <v>3.8890856605868329E-2</v>
      </c>
      <c r="J135" s="42">
        <f>'Raw Data'!F135/I135</f>
        <v>0</v>
      </c>
      <c r="K135" s="143">
        <f t="shared" si="6"/>
        <v>118.92444069274778</v>
      </c>
      <c r="L135" s="43">
        <f>A135*Table!$AC$9/$AC$16</f>
        <v>12296.461551391923</v>
      </c>
      <c r="M135" s="43">
        <f>A135*Table!$AD$9/$AC$16</f>
        <v>4215.9296747629451</v>
      </c>
      <c r="N135" s="43">
        <f>ABS(A135*Table!$AE$9/$AC$16)</f>
        <v>5324.5240400820085</v>
      </c>
      <c r="O135" s="43">
        <f>($L135*(Table!$AC$10/Table!$AC$9)/(Table!$AC$12-Table!$AC$14))</f>
        <v>26375.93640367208</v>
      </c>
      <c r="P135" s="43">
        <f>ROUND(($N135*(Table!$AE$10/Table!$AE$9)/(Table!$AC$12-Table!$AC$13)),2)</f>
        <v>43715.3</v>
      </c>
      <c r="Q135" s="43">
        <f>'Raw Data'!C135</f>
        <v>1.6793</v>
      </c>
      <c r="R135" s="43">
        <f>'Raw Data'!C135/'Raw Data'!I$30*100</f>
        <v>15.66800184239548</v>
      </c>
      <c r="S135" s="13">
        <f t="shared" si="7"/>
        <v>0</v>
      </c>
      <c r="T135" s="13">
        <f t="shared" si="8"/>
        <v>1.1325882454116254E-9</v>
      </c>
      <c r="U135" s="53">
        <f t="shared" si="9"/>
        <v>2.8610290164887529E-4</v>
      </c>
      <c r="V135" s="53">
        <f t="shared" si="10"/>
        <v>4.0639844866692629E-4</v>
      </c>
      <c r="W135" s="53">
        <f t="shared" si="11"/>
        <v>0</v>
      </c>
      <c r="X135" s="95">
        <f t="shared" si="12"/>
        <v>0.35371022910413302</v>
      </c>
      <c r="AS135" s="114"/>
      <c r="AT135" s="114"/>
    </row>
    <row r="136" spans="1:46" x14ac:dyDescent="0.2">
      <c r="A136" s="43">
        <v>59436.02734375</v>
      </c>
      <c r="B136" s="139">
        <v>1</v>
      </c>
      <c r="C136" s="139">
        <f t="shared" si="1"/>
        <v>0</v>
      </c>
      <c r="D136" s="49">
        <f t="shared" si="2"/>
        <v>1.1908306043462158E-4</v>
      </c>
      <c r="E136" s="42">
        <f>(2*Table!$AC$16*0.147)/A136</f>
        <v>1.5420795998883601E-3</v>
      </c>
      <c r="F136" s="42">
        <f t="shared" si="3"/>
        <v>3.0841591997767203E-3</v>
      </c>
      <c r="G136" s="43">
        <f>IF((('Raw Data'!C136)/('Raw Data'!C$136)*100)&lt;0,0,('Raw Data'!C136)/('Raw Data'!C$136)*100)</f>
        <v>100</v>
      </c>
      <c r="H136" s="43">
        <f t="shared" si="4"/>
        <v>1.1908306043466155E-2</v>
      </c>
      <c r="I136" s="21">
        <f t="shared" si="5"/>
        <v>3.5558422316403604E-2</v>
      </c>
      <c r="J136" s="42">
        <f>'Raw Data'!F136/I136</f>
        <v>3.3489410574801255E-3</v>
      </c>
      <c r="K136" s="143">
        <f t="shared" si="6"/>
        <v>129.07125709517001</v>
      </c>
      <c r="L136" s="43">
        <f>A136*Table!$AC$9/$AC$16</f>
        <v>13345.614585323547</v>
      </c>
      <c r="M136" s="43">
        <f>A136*Table!$AD$9/$AC$16</f>
        <v>4575.6392863966448</v>
      </c>
      <c r="N136" s="43">
        <f>ABS(A136*Table!$AE$9/$AC$16)</f>
        <v>5778.8206300031597</v>
      </c>
      <c r="O136" s="43">
        <f>($L136*(Table!$AC$10/Table!$AC$9)/(Table!$AC$12-Table!$AC$14))</f>
        <v>28626.371911890921</v>
      </c>
      <c r="P136" s="43">
        <f>ROUND(($N136*(Table!$AE$10/Table!$AE$9)/(Table!$AC$12-Table!$AC$13)),2)</f>
        <v>47445.16</v>
      </c>
      <c r="Q136" s="43">
        <f>'Raw Data'!C136</f>
        <v>1.6795</v>
      </c>
      <c r="R136" s="43">
        <f>'Raw Data'!C136/'Raw Data'!I$30*100</f>
        <v>15.669867858216641</v>
      </c>
      <c r="S136" s="13">
        <f t="shared" si="7"/>
        <v>1.3477088948783489E-3</v>
      </c>
      <c r="T136" s="13">
        <f t="shared" si="8"/>
        <v>0</v>
      </c>
      <c r="U136" s="53">
        <f t="shared" si="9"/>
        <v>2.6364258444780474E-4</v>
      </c>
      <c r="V136" s="53">
        <f t="shared" si="10"/>
        <v>3.5392415852265635E-4</v>
      </c>
      <c r="W136" s="53">
        <f t="shared" si="11"/>
        <v>4.0060806812520456E-10</v>
      </c>
      <c r="X136" s="95">
        <f t="shared" si="12"/>
        <v>0.35371022950474107</v>
      </c>
      <c r="AS136" s="114"/>
      <c r="AT136" s="114"/>
    </row>
    <row r="137" spans="1:46" x14ac:dyDescent="0.2">
      <c r="A137" s="43"/>
      <c r="B137" s="139"/>
      <c r="C137" s="139"/>
      <c r="D137" s="71"/>
      <c r="E137" s="71"/>
      <c r="F137" s="71"/>
      <c r="G137" s="71"/>
      <c r="H137" s="71"/>
      <c r="I137" s="71"/>
      <c r="J137" s="42"/>
      <c r="K137" s="135"/>
      <c r="L137" s="43"/>
      <c r="M137" s="43"/>
      <c r="N137" s="43"/>
      <c r="O137" s="43"/>
      <c r="P137" s="43"/>
      <c r="Q137" s="43"/>
      <c r="AS137" s="114"/>
      <c r="AT137" s="114"/>
    </row>
    <row r="138" spans="1:46" x14ac:dyDescent="0.2">
      <c r="A138" s="43"/>
      <c r="B138" s="139"/>
      <c r="C138" s="139"/>
      <c r="D138" s="71"/>
      <c r="E138" s="71"/>
      <c r="F138" s="71"/>
      <c r="G138" s="71"/>
      <c r="H138" s="71"/>
      <c r="I138" s="71"/>
      <c r="J138" s="42"/>
      <c r="K138" s="135"/>
      <c r="L138" s="43"/>
      <c r="M138" s="43"/>
      <c r="N138" s="43"/>
      <c r="O138" s="43"/>
      <c r="P138" s="43"/>
      <c r="Q138" s="43"/>
      <c r="AS138" s="114"/>
      <c r="AT138" s="114"/>
    </row>
    <row r="139" spans="1:46" x14ac:dyDescent="0.2">
      <c r="A139" s="43"/>
      <c r="B139" s="139"/>
      <c r="C139" s="139"/>
      <c r="D139" s="71"/>
      <c r="E139" s="71"/>
      <c r="F139" s="71"/>
      <c r="G139" s="71"/>
      <c r="H139" s="71"/>
      <c r="I139" s="71"/>
      <c r="J139" s="42"/>
      <c r="K139" s="135"/>
      <c r="L139" s="43"/>
      <c r="M139" s="43"/>
      <c r="N139" s="43"/>
      <c r="O139" s="43"/>
      <c r="P139" s="43"/>
      <c r="Q139" s="43"/>
      <c r="AS139" s="114"/>
      <c r="AT139" s="114"/>
    </row>
    <row r="140" spans="1:46" x14ac:dyDescent="0.2">
      <c r="A140" s="43"/>
      <c r="B140" s="139"/>
      <c r="C140" s="139"/>
      <c r="D140" s="71"/>
      <c r="E140" s="71"/>
      <c r="F140" s="71"/>
      <c r="G140" s="71"/>
      <c r="H140" s="71"/>
      <c r="I140" s="71"/>
      <c r="J140" s="42"/>
      <c r="K140" s="135"/>
      <c r="L140" s="43"/>
      <c r="M140" s="43"/>
      <c r="N140" s="43"/>
      <c r="O140" s="43"/>
      <c r="P140" s="43"/>
      <c r="Q140" s="43"/>
      <c r="AS140" s="114"/>
      <c r="AT140" s="114"/>
    </row>
    <row r="141" spans="1:46" x14ac:dyDescent="0.2">
      <c r="A141" s="43"/>
      <c r="B141" s="139"/>
      <c r="C141" s="139"/>
      <c r="D141" s="71"/>
      <c r="E141" s="71"/>
      <c r="F141" s="71"/>
      <c r="G141" s="71"/>
      <c r="H141" s="71"/>
      <c r="I141" s="71"/>
      <c r="J141" s="42"/>
      <c r="K141" s="135"/>
      <c r="L141" s="43"/>
      <c r="M141" s="43"/>
      <c r="N141" s="43"/>
      <c r="O141" s="43"/>
      <c r="P141" s="43"/>
      <c r="Q141" s="43"/>
      <c r="AS141" s="114"/>
      <c r="AT141" s="114"/>
    </row>
    <row r="142" spans="1:46" x14ac:dyDescent="0.2">
      <c r="A142" s="43"/>
      <c r="B142" s="139"/>
      <c r="C142" s="139"/>
      <c r="D142" s="71"/>
      <c r="E142" s="71"/>
      <c r="F142" s="71"/>
      <c r="G142" s="71"/>
      <c r="H142" s="71"/>
      <c r="I142" s="71"/>
      <c r="J142" s="42"/>
      <c r="K142" s="135"/>
      <c r="L142" s="43"/>
      <c r="M142" s="43"/>
      <c r="N142" s="43"/>
      <c r="O142" s="43"/>
      <c r="P142" s="43"/>
      <c r="Q142" s="43"/>
      <c r="AS142" s="114"/>
      <c r="AT142" s="114"/>
    </row>
    <row r="143" spans="1:46" x14ac:dyDescent="0.2">
      <c r="J143" s="42"/>
      <c r="AS143" s="114"/>
      <c r="AT143" s="114"/>
    </row>
    <row r="144" spans="1:46" x14ac:dyDescent="0.2">
      <c r="J144" s="42"/>
      <c r="AS144" s="114"/>
      <c r="AT144" s="114"/>
    </row>
    <row r="145" spans="10:46" x14ac:dyDescent="0.2">
      <c r="J145" s="42"/>
      <c r="AS145" s="114"/>
      <c r="AT145" s="114"/>
    </row>
    <row r="146" spans="10:46" x14ac:dyDescent="0.2">
      <c r="J146" s="42"/>
      <c r="AS146" s="114"/>
      <c r="AT146" s="114"/>
    </row>
    <row r="147" spans="10:46" x14ac:dyDescent="0.2">
      <c r="J147" s="42"/>
      <c r="AS147" s="114"/>
      <c r="AT147" s="114"/>
    </row>
    <row r="148" spans="10:46" x14ac:dyDescent="0.2">
      <c r="J148" s="42"/>
      <c r="AS148" s="114"/>
      <c r="AT148" s="114"/>
    </row>
    <row r="149" spans="10:46" x14ac:dyDescent="0.2">
      <c r="J149" s="42"/>
      <c r="AS149" s="114"/>
      <c r="AT149" s="114"/>
    </row>
    <row r="150" spans="10:46" x14ac:dyDescent="0.2">
      <c r="J150" s="42"/>
      <c r="AS150" s="114"/>
      <c r="AT150" s="114"/>
    </row>
    <row r="151" spans="10:46" x14ac:dyDescent="0.2">
      <c r="J151" s="42"/>
      <c r="AS151" s="114"/>
      <c r="AT151" s="114"/>
    </row>
    <row r="152" spans="10:46" x14ac:dyDescent="0.2">
      <c r="J152" s="42"/>
      <c r="AS152" s="114"/>
      <c r="AT152" s="114"/>
    </row>
    <row r="153" spans="10:46" x14ac:dyDescent="0.2">
      <c r="J153" s="42"/>
      <c r="AS153" s="114"/>
      <c r="AT153" s="114"/>
    </row>
    <row r="154" spans="10:46" x14ac:dyDescent="0.2">
      <c r="J154" s="42"/>
      <c r="AS154" s="114"/>
      <c r="AT154" s="114"/>
    </row>
    <row r="155" spans="10:46" x14ac:dyDescent="0.2">
      <c r="J155" s="42"/>
      <c r="AS155" s="114"/>
      <c r="AT155" s="114"/>
    </row>
    <row r="156" spans="10:46" x14ac:dyDescent="0.2">
      <c r="J156" s="42"/>
      <c r="AS156" s="114"/>
      <c r="AT156" s="114"/>
    </row>
    <row r="157" spans="10:46" x14ac:dyDescent="0.2">
      <c r="J157" s="42"/>
      <c r="AS157" s="114"/>
      <c r="AT157" s="114"/>
    </row>
    <row r="158" spans="10:46" x14ac:dyDescent="0.2">
      <c r="J158" s="42"/>
      <c r="AS158" s="114"/>
      <c r="AT158" s="114"/>
    </row>
    <row r="159" spans="10:46" x14ac:dyDescent="0.2">
      <c r="J159" s="42"/>
      <c r="AS159" s="114"/>
      <c r="AT159" s="114"/>
    </row>
    <row r="160" spans="10:46" x14ac:dyDescent="0.2">
      <c r="J160" s="42"/>
      <c r="AS160" s="114"/>
      <c r="AT160" s="114"/>
    </row>
    <row r="161" spans="10:46" x14ac:dyDescent="0.2">
      <c r="J161" s="42"/>
      <c r="AS161" s="114"/>
      <c r="AT161" s="114"/>
    </row>
    <row r="162" spans="10:46" x14ac:dyDescent="0.2">
      <c r="J162" s="42"/>
    </row>
    <row r="163" spans="10:46" x14ac:dyDescent="0.2">
      <c r="J163" s="42"/>
    </row>
    <row r="164" spans="10:46" x14ac:dyDescent="0.2">
      <c r="J164" s="42"/>
    </row>
    <row r="165" spans="10:46" x14ac:dyDescent="0.2">
      <c r="J165" s="42"/>
    </row>
    <row r="166" spans="10:46" x14ac:dyDescent="0.2">
      <c r="J166" s="42"/>
    </row>
    <row r="167" spans="10:46" x14ac:dyDescent="0.2">
      <c r="J167" s="42"/>
    </row>
    <row r="168" spans="10:46" x14ac:dyDescent="0.2">
      <c r="J168" s="42"/>
    </row>
    <row r="169" spans="10:46" x14ac:dyDescent="0.2">
      <c r="J169" s="42"/>
    </row>
    <row r="170" spans="10:46" x14ac:dyDescent="0.2">
      <c r="J170" s="42"/>
    </row>
    <row r="171" spans="10:46" x14ac:dyDescent="0.2">
      <c r="J171" s="42"/>
    </row>
    <row r="172" spans="10:46" x14ac:dyDescent="0.2">
      <c r="J172" s="42"/>
    </row>
    <row r="173" spans="10:46" x14ac:dyDescent="0.2">
      <c r="J173" s="42"/>
    </row>
    <row r="174" spans="10:46" x14ac:dyDescent="0.2">
      <c r="J174" s="42"/>
    </row>
    <row r="175" spans="10:46" x14ac:dyDescent="0.2">
      <c r="J175" s="42"/>
    </row>
    <row r="176" spans="10:46" x14ac:dyDescent="0.2">
      <c r="J176" s="42"/>
    </row>
    <row r="177" spans="10:10" x14ac:dyDescent="0.2">
      <c r="J177" s="42"/>
    </row>
    <row r="178" spans="10:10" x14ac:dyDescent="0.2">
      <c r="J178" s="42"/>
    </row>
    <row r="179" spans="10:10" x14ac:dyDescent="0.2">
      <c r="J179" s="42"/>
    </row>
    <row r="180" spans="10:10" x14ac:dyDescent="0.2">
      <c r="J180" s="42"/>
    </row>
    <row r="181" spans="10:10" x14ac:dyDescent="0.2">
      <c r="J181" s="42"/>
    </row>
    <row r="182" spans="10:10" x14ac:dyDescent="0.2">
      <c r="J182" s="42"/>
    </row>
    <row r="183" spans="10:10" x14ac:dyDescent="0.2">
      <c r="J183" s="42"/>
    </row>
    <row r="184" spans="10:10" x14ac:dyDescent="0.2">
      <c r="J184" s="42"/>
    </row>
    <row r="185" spans="10:10" x14ac:dyDescent="0.2">
      <c r="J185" s="42"/>
    </row>
    <row r="186" spans="10:10" x14ac:dyDescent="0.2">
      <c r="J186" s="42"/>
    </row>
    <row r="187" spans="10:10" x14ac:dyDescent="0.2">
      <c r="J187" s="42"/>
    </row>
    <row r="188" spans="10:10" x14ac:dyDescent="0.2">
      <c r="J188" s="42"/>
    </row>
    <row r="189" spans="10:10" x14ac:dyDescent="0.2">
      <c r="J189" s="42"/>
    </row>
    <row r="190" spans="10:10" x14ac:dyDescent="0.2">
      <c r="J190" s="42"/>
    </row>
  </sheetData>
  <mergeCells count="3">
    <mergeCell ref="AR4:AT4"/>
    <mergeCell ref="AN4:AP4"/>
    <mergeCell ref="A5:P5"/>
  </mergeCells>
  <printOptions horizontalCentered="1"/>
  <pageMargins left="0.5" right="0.5" top="0.1" bottom="0.25" header="0" footer="0"/>
  <pageSetup scale="37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Raw Data</vt:lpstr>
      <vt:lpstr>Compilation</vt:lpstr>
      <vt:lpstr>Compilation 2</vt:lpstr>
      <vt:lpstr>Table</vt:lpstr>
      <vt:lpstr>Compilation!Print_Area</vt:lpstr>
      <vt:lpstr>'Compilation 2'!Print_Area</vt:lpstr>
      <vt:lpstr>'Raw Data'!Print_Area</vt:lpstr>
      <vt:lpstr>Table!Print_Area</vt:lpstr>
      <vt:lpstr>'Raw Data'!Print_Titles</vt:lpstr>
      <vt:lpstr>Table!Print_Titles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Badgett, Simon J</cp:lastModifiedBy>
  <dcterms:created xsi:type="dcterms:W3CDTF">2013-03-19T19:19:43Z</dcterms:created>
  <dcterms:modified xsi:type="dcterms:W3CDTF">2013-03-19T19:19:45Z</dcterms:modified>
</cp:coreProperties>
</file>